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group.sharepoint.com/sites/MVCAC/Shared Documents/General/MVCAC/Budget/MVCAC 2024 - 2025 Budget First Draft/"/>
    </mc:Choice>
  </mc:AlternateContent>
  <xr:revisionPtr revIDLastSave="651" documentId="8_{CEC3926A-2182-4BE4-8F51-E1105E4C470A}" xr6:coauthVersionLast="47" xr6:coauthVersionMax="47" xr10:uidLastSave="{778E3096-7C31-4108-9C07-C0ED87AA8A54}"/>
  <bookViews>
    <workbookView xWindow="-108" yWindow="-108" windowWidth="23256" windowHeight="12576" activeTab="2" xr2:uid="{EFF9AF10-B855-4A05-AEEE-2E2A52068C82}"/>
  </bookViews>
  <sheets>
    <sheet name="Operational Budget" sheetId="1" r:id="rId1"/>
    <sheet name="Conventions and Meetings" sheetId="2" r:id="rId2"/>
    <sheet name="Assets" sheetId="3" r:id="rId3"/>
  </sheets>
  <definedNames>
    <definedName name="_xlnm.Print_Titles" localSheetId="0">'Operational Budget'!$A:$D,'Operational Budget'!$1:$2</definedName>
    <definedName name="QB_COLUMN_290" localSheetId="0" hidden="1">'Operational Budget'!#REF!</definedName>
    <definedName name="QB_COLUMN_59201" localSheetId="0" hidden="1">'Operational Budget'!$E$2</definedName>
    <definedName name="QB_COLUMN_59202" localSheetId="0" hidden="1">'Operational Budget'!#REF!</definedName>
    <definedName name="QB_COLUMN_59203" localSheetId="0" hidden="1">'Operational Budget'!#REF!</definedName>
    <definedName name="QB_COLUMN_59300" localSheetId="0" hidden="1">'Operational Budget'!#REF!</definedName>
    <definedName name="QB_COLUMN_63620" localSheetId="0" hidden="1">'Operational Budget'!#REF!</definedName>
    <definedName name="QB_COLUMN_63621" localSheetId="0" hidden="1">'Operational Budget'!#REF!</definedName>
    <definedName name="QB_COLUMN_63622" localSheetId="0" hidden="1">'Operational Budget'!#REF!</definedName>
    <definedName name="QB_COLUMN_63623" localSheetId="0" hidden="1">'Operational Budget'!#REF!</definedName>
    <definedName name="QB_COLUMN_64430" localSheetId="0" hidden="1">'Operational Budget'!#REF!</definedName>
    <definedName name="QB_COLUMN_64431" localSheetId="0" hidden="1">'Operational Budget'!#REF!</definedName>
    <definedName name="QB_COLUMN_64432" localSheetId="0" hidden="1">'Operational Budget'!#REF!</definedName>
    <definedName name="QB_COLUMN_64433" localSheetId="0" hidden="1">'Operational Budget'!#REF!</definedName>
    <definedName name="QB_COLUMN_76211" localSheetId="0" hidden="1">'Operational Budget'!$F$2</definedName>
    <definedName name="QB_COLUMN_76212" localSheetId="0" hidden="1">'Operational Budget'!#REF!</definedName>
    <definedName name="QB_COLUMN_76213" localSheetId="0" hidden="1">'Operational Budget'!$I$2</definedName>
    <definedName name="QB_COLUMN_76310" localSheetId="0" hidden="1">'Operational Budget'!#REF!</definedName>
    <definedName name="QB_DATA_0" localSheetId="0" hidden="1">'Operational Budget'!#REF!,'Operational Budget'!#REF!,'Operational Budget'!#REF!,'Operational Budget'!#REF!,'Operational Budget'!#REF!,'Operational Budget'!#REF!,'Operational Budget'!$6:$6,'Operational Budget'!$7:$7,'Operational Budget'!$8:$8,'Operational Budget'!$9:$9,'Operational Budget'!$10:$10,'Operational Budget'!$13:$13,'Operational Budget'!$14:$14,'Operational Budget'!$15:$15,'Operational Budget'!$16:$16,'Operational Budget'!$19:$19</definedName>
    <definedName name="QB_DATA_1" localSheetId="0" hidden="1">'Operational Budget'!$23:$23,'Operational Budget'!$28:$28,'Conventions and Meetings'!$20:$20,'Conventions and Meetings'!$21:$21,'Conventions and Meetings'!$22:$22,'Conventions and Meetings'!$23:$23,'Conventions and Meetings'!$24:$24,'Conventions and Meetings'!$25:$25,'Conventions and Meetings'!$26:$26,'Conventions and Meetings'!$27:$27,'Conventions and Meetings'!$28:$28,'Conventions and Meetings'!$29:$29,'Conventions and Meetings'!$30:$30,'Conventions and Meetings'!$31:$31,'Conventions and Meetings'!$33:$33,'Conventions and Meetings'!$34:$34</definedName>
    <definedName name="QB_DATA_2" localSheetId="0" hidden="1">'Operational Budget'!#REF!,'Operational Budget'!$35:$35,'Operational Budget'!$36:$36,'Operational Budget'!$39:$39,'Operational Budget'!$40:$40,'Operational Budget'!$44:$44,'Operational Budget'!$45:$45,'Operational Budget'!$46:$46,'Operational Budget'!$47:$47,'Operational Budget'!$49:$49,'Operational Budget'!$52:$52,'Operational Budget'!$55:$55,'Operational Budget'!$56:$56,'Operational Budget'!$57:$57,'Operational Budget'!$58:$58,'Operational Budget'!$59:$59</definedName>
    <definedName name="QB_DATA_3" localSheetId="0" hidden="1">'Operational Budget'!$60:$60,'Operational Budget'!$61:$61,'Operational Budget'!$62:$62,'Operational Budget'!$63:$63,'Operational Budget'!$64:$64,'Operational Budget'!$65:$65,'Operational Budget'!$66:$66,'Operational Budget'!$67:$67,'Operational Budget'!$69:$69,'Operational Budget'!$70:$70,'Operational Budget'!$72:$72,'Operational Budget'!$73:$73,'Operational Budget'!$76:$76,'Operational Budget'!$77:$77,'Operational Budget'!$78:$78,'Operational Budget'!$79:$79</definedName>
    <definedName name="QB_DATA_4" localSheetId="0" hidden="1">'Operational Budget'!#REF!,'Operational Budget'!#REF!,'Operational Budget'!#REF!,'Operational Budget'!#REF!,'Operational Budget'!#REF!,'Operational Budget'!#REF!,'Conventions and Meetings'!$43:$43,'Conventions and Meetings'!$44:$44,'Conventions and Meetings'!$46:$46,'Operational Budget'!#REF!,'Operational Budget'!$86:$86,'Operational Budget'!$94:$94,'Operational Budget'!$95:$95,'Operational Budget'!$101:$101</definedName>
    <definedName name="QB_FORMULA_0" localSheetId="0" hidden="1">'Conventions and Meetings'!$F$6,'Conventions and Meetings'!$G$6,'Conventions and Meetings'!#REF!,'Conventions and Meetings'!#REF!,'Operational Budget'!#REF!,'Operational Budget'!#REF!,'Operational Budget'!#REF!,'Operational Budget'!#REF!,'Operational Budget'!#REF!,'Operational Budget'!#REF!,'Conventions and Meetings'!$F$7,'Conventions and Meetings'!$G$7,'Conventions and Meetings'!#REF!,'Conventions and Meetings'!#REF!,'Operational Budget'!#REF!,'Operational Budget'!#REF!</definedName>
    <definedName name="QB_FORMULA_1" localSheetId="0" hidden="1">'Operational Budget'!#REF!,'Operational Budget'!#REF!,'Operational Budget'!#REF!,'Operational Budget'!#REF!,'Conventions and Meetings'!$F$9,'Conventions and Meetings'!$G$9,'Conventions and Meetings'!#REF!,'Conventions and Meetings'!#REF!,'Operational Budget'!#REF!,'Operational Budget'!#REF!,'Operational Budget'!#REF!,'Operational Budget'!#REF!,'Operational Budget'!#REF!,'Operational Budget'!#REF!,'Conventions and Meetings'!$F$10,'Conventions and Meetings'!$G$10</definedName>
    <definedName name="QB_FORMULA_10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11" localSheetId="0" hidden="1">'Operational Budget'!#REF!,'Operational Budget'!#REF!,'Operational Budget'!#REF!,'Operational Budget'!#REF!,'Operational Budget'!#REF!,'Operational Budget'!#REF!,'Operational Budget'!$E$17,'Operational Budget'!$F$17,'Operational Budget'!#REF!,'Operational Budget'!#REF!,'Operational Budget'!#REF!,'Operational Budget'!#REF!,'Operational Budget'!#REF!,'Operational Budget'!#REF!,'Operational Budget'!#REF!,'Operational Budget'!$I$17</definedName>
    <definedName name="QB_FORMULA_12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13" localSheetId="0" hidden="1">'Operational Budget'!$E$21,'Operational Budget'!$F$21,'Operational Budget'!#REF!,'Operational Budget'!#REF!,'Operational Budget'!#REF!,'Operational Budget'!#REF!,'Operational Budget'!#REF!,'Operational Budget'!#REF!,'Operational Budget'!#REF!,'Operational Budget'!$I$21,'Operational Budget'!#REF!,'Operational Budget'!#REF!,'Operational Budget'!#REF!,'Operational Budget'!#REF!,'Operational Budget'!#REF!,'Operational Budget'!#REF!</definedName>
    <definedName name="QB_FORMULA_14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15" localSheetId="0" hidden="1">'Operational Budget'!#REF!,'Operational Budget'!#REF!,'Operational Budget'!#REF!,'Operational Budget'!#REF!,'Operational Budget'!$E$26,'Operational Budget'!$F$26,'Operational Budget'!#REF!,'Operational Budget'!#REF!,'Operational Budget'!#REF!,'Operational Budget'!#REF!,'Operational Budget'!#REF!,'Operational Budget'!#REF!,'Operational Budget'!#REF!,'Operational Budget'!$I$26,'Operational Budget'!#REF!,'Operational Budget'!#REF!</definedName>
    <definedName name="QB_FORMULA_16" localSheetId="0" hidden="1">'Operational Budget'!#REF!,'Operational Budget'!#REF!,'Operational Budget'!#REF!,'Operational Budget'!#REF!,'Operational Budget'!$E$31,'Operational Budget'!$F$31,'Operational Budget'!#REF!,'Operational Budget'!#REF!,'Operational Budget'!#REF!,'Operational Budget'!#REF!,'Operational Budget'!#REF!,'Operational Budget'!#REF!,'Operational Budget'!#REF!,'Operational Budget'!$I$31,'Operational Budget'!#REF!,'Operational Budget'!#REF!</definedName>
    <definedName name="QB_FORMULA_17" localSheetId="0" hidden="1">'Operational Budget'!#REF!,'Operational Budget'!#REF!,'Operational Budget'!#REF!,'Operational Budget'!#REF!,'Operational Budget'!$E$32,'Operational Budget'!$F$32,'Operational Budget'!#REF!,'Operational Budget'!#REF!,'Operational Budget'!#REF!,'Operational Budget'!#REF!,'Operational Budget'!#REF!,'Operational Budget'!#REF!,'Operational Budget'!#REF!,'Operational Budget'!$I$32,'Operational Budget'!#REF!,'Operational Budget'!#REF!</definedName>
    <definedName name="QB_FORMULA_18" localSheetId="0" hidden="1">'Operational Budget'!#REF!,'Operational Budget'!#REF!,'Operational Budget'!#REF!,'Operational Budget'!#REF!,'Conventions and Meetings'!$F$20,'Conventions and Meetings'!$G$20,'Conventions and Meetings'!#REF!,'Conventions and Meetings'!#REF!,'Operational Budget'!#REF!,'Operational Budget'!#REF!,'Operational Budget'!#REF!,'Operational Budget'!#REF!,'Operational Budget'!#REF!,'Operational Budget'!#REF!,'Conventions and Meetings'!$F$21,'Conventions and Meetings'!$G$21</definedName>
    <definedName name="QB_FORMULA_19" localSheetId="0" hidden="1">'Conventions and Meetings'!#REF!,'Conventions and Meetings'!#REF!,'Operational Budget'!#REF!,'Operational Budget'!#REF!,'Operational Budget'!#REF!,'Operational Budget'!#REF!,'Operational Budget'!#REF!,'Operational Budget'!#REF!,'Conventions and Meetings'!$F$21,'Conventions and Meetings'!$G$21,'Conventions and Meetings'!#REF!,'Conventions and Meetings'!#REF!,'Operational Budget'!#REF!,'Operational Budget'!#REF!,'Operational Budget'!#REF!,'Operational Budget'!#REF!</definedName>
    <definedName name="QB_FORMULA_2" localSheetId="0" hidden="1">'Conventions and Meetings'!#REF!,'Conventions and Meetings'!#REF!,'Operational Budget'!#REF!,'Operational Budget'!#REF!,'Operational Budget'!#REF!,'Operational Budget'!#REF!,'Operational Budget'!#REF!,'Operational Budget'!#REF!,'Conventions and Meetings'!$F$10,'Conventions and Meetings'!$G$10,'Conventions and Meetings'!#REF!,'Conventions and Meetings'!#REF!,'Operational Budget'!#REF!,'Operational Budget'!#REF!,'Operational Budget'!#REF!,'Operational Budget'!#REF!</definedName>
    <definedName name="QB_FORMULA_20" localSheetId="0" hidden="1">'Operational Budget'!#REF!,'Operational Budget'!#REF!,'Conventions and Meetings'!$F$23,'Conventions and Meetings'!$G$23,'Conventions and Meetings'!#REF!,'Conventions and Meetings'!#REF!,'Operational Budget'!#REF!,'Operational Budget'!#REF!,'Operational Budget'!#REF!,'Operational Budget'!#REF!,'Operational Budget'!#REF!,'Operational Budget'!#REF!,'Conventions and Meetings'!$F$24,'Conventions and Meetings'!$G$24,'Conventions and Meetings'!#REF!,'Conventions and Meetings'!#REF!</definedName>
    <definedName name="QB_FORMULA_21" localSheetId="0" hidden="1">'Operational Budget'!#REF!,'Operational Budget'!#REF!,'Operational Budget'!#REF!,'Operational Budget'!#REF!,'Operational Budget'!#REF!,'Operational Budget'!#REF!,'Conventions and Meetings'!$F$24,'Conventions and Meetings'!$G$24,'Conventions and Meetings'!#REF!,'Conventions and Meetings'!#REF!,'Operational Budget'!#REF!,'Operational Budget'!#REF!,'Operational Budget'!#REF!,'Operational Budget'!#REF!,'Operational Budget'!#REF!,'Operational Budget'!#REF!</definedName>
    <definedName name="QB_FORMULA_22" localSheetId="0" hidden="1">'Conventions and Meetings'!$F$25,'Conventions and Meetings'!$G$25,'Conventions and Meetings'!#REF!,'Conventions and Meetings'!#REF!,'Operational Budget'!#REF!,'Operational Budget'!#REF!,'Operational Budget'!#REF!,'Operational Budget'!#REF!,'Operational Budget'!#REF!,'Operational Budget'!#REF!,'Conventions and Meetings'!$F$26,'Conventions and Meetings'!$G$26,'Conventions and Meetings'!#REF!,'Conventions and Meetings'!#REF!,'Operational Budget'!#REF!,'Operational Budget'!#REF!</definedName>
    <definedName name="QB_FORMULA_23" localSheetId="0" hidden="1">'Operational Budget'!#REF!,'Operational Budget'!#REF!,'Operational Budget'!#REF!,'Operational Budget'!#REF!,'Conventions and Meetings'!$F$28,'Conventions and Meetings'!$G$28,'Conventions and Meetings'!#REF!,'Conventions and Meetings'!#REF!,'Operational Budget'!#REF!,'Operational Budget'!#REF!,'Operational Budget'!#REF!,'Operational Budget'!#REF!,'Operational Budget'!#REF!,'Operational Budget'!#REF!,'Conventions and Meetings'!$F$29,'Conventions and Meetings'!$G$29</definedName>
    <definedName name="QB_FORMULA_24" localSheetId="0" hidden="1">'Conventions and Meetings'!#REF!,'Conventions and Meetings'!#REF!,'Operational Budget'!#REF!,'Operational Budget'!#REF!,'Operational Budget'!#REF!,'Operational Budget'!#REF!,'Operational Budget'!#REF!,'Operational Budget'!#REF!,'Conventions and Meetings'!$F$29,'Conventions and Meetings'!$G$29,'Conventions and Meetings'!#REF!,'Conventions and Meetings'!#REF!,'Operational Budget'!#REF!,'Operational Budget'!#REF!,'Operational Budget'!#REF!,'Operational Budget'!#REF!</definedName>
    <definedName name="QB_FORMULA_25" localSheetId="0" hidden="1">'Operational Budget'!#REF!,'Operational Budget'!#REF!,'Conventions and Meetings'!$F$31,'Conventions and Meetings'!$G$31,'Conventions and Meetings'!#REF!,'Conventions and Meetings'!#REF!,'Operational Budget'!#REF!,'Operational Budget'!#REF!,'Operational Budget'!#REF!,'Operational Budget'!#REF!,'Operational Budget'!#REF!,'Operational Budget'!#REF!,'Conventions and Meetings'!$F$33,'Conventions and Meetings'!$G$33,'Conventions and Meetings'!#REF!,'Conventions and Meetings'!#REF!</definedName>
    <definedName name="QB_FORMULA_26" localSheetId="0" hidden="1">'Operational Budget'!#REF!,'Operational Budget'!#REF!,'Operational Budget'!#REF!,'Operational Budget'!#REF!,'Operational Budget'!#REF!,'Operational Budget'!#REF!,'Conventions and Meetings'!$F$32,'Conventions and Meetings'!$G$32,'Conventions and Meetings'!#REF!,'Conventions and Meetings'!#REF!,'Operational Budget'!#REF!,'Operational Budget'!#REF!,'Operational Budget'!#REF!,'Operational Budget'!#REF!,'Operational Budget'!#REF!,'Operational Budget'!#REF!</definedName>
    <definedName name="QB_FORMULA_27" localSheetId="0" hidden="1">'Operational Budget'!#REF!,'Operational Budget'!#REF!,'Operational Budget'!#REF!,'Operational Budget'!#REF!,'Operational Budget'!#REF!,'Operational Budget'!#REF!,'Conventions and Meetings'!$D$42,'Conventions and Meetings'!$E$42,'Conventions and Meetings'!$F$42,'Conventions and Meetings'!$G$42,'Conventions and Meetings'!#REF!,'Conventions and Meetings'!#REF!,'Conventions and Meetings'!#REF!,'Conventions and Meetings'!#REF!,'Conventions and Meetings'!#REF!,'Conventions and Meetings'!$I$42</definedName>
    <definedName name="QB_FORMULA_28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29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Budget'!$E$37,'Operational Budget'!$F$37,'Operational Budget'!#REF!,'Operational Budget'!#REF!,'Operational Budget'!#REF!,'Operational Budget'!#REF!</definedName>
    <definedName name="QB_FORMULA_3" localSheetId="0" hidden="1">'Operational Budget'!#REF!,'Operational Budget'!#REF!,'Conventions and Meetings'!$F$13,'Conventions and Meetings'!$G$13,'Conventions and Meetings'!#REF!,'Conventions and Meetings'!#REF!,'Operational Budget'!#REF!,'Operational Budget'!#REF!,'Operational Budget'!#REF!,'Operational Budget'!#REF!,'Operational Budget'!#REF!,'Operational Budget'!#REF!,'Conventions and Meetings'!$D$17,'Conventions and Meetings'!$E$17,'Conventions and Meetings'!$F$17,'Conventions and Meetings'!$G$17</definedName>
    <definedName name="QB_FORMULA_30" localSheetId="0" hidden="1">'Operational Budget'!#REF!,'Operational Budget'!#REF!,'Operational Budget'!#REF!,'Operational Budget'!$I$37,'Operational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31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Budget'!$E$42,'Operational Budget'!$F$42</definedName>
    <definedName name="QB_FORMULA_32" localSheetId="0" hidden="1">'Operational Budget'!#REF!,'Operational Budget'!#REF!,'Operational Budget'!#REF!,'Operational Budget'!#REF!,'Operational Budget'!#REF!,'Operational Budget'!#REF!,'Operational Budget'!#REF!,'Operational Budget'!$I$42,'Operational Budget'!#REF!,'Operational Budget'!#REF!,'Operational Budget'!#REF!,'Operational Budget'!#REF!,'Operational Budget'!#REF!,'Operational Budget'!#REF!,'Operational Budget'!#REF!,'Operational Budget'!#REF!</definedName>
    <definedName name="QB_FORMULA_33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34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35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Budget'!$E$50,'Operational Budget'!$F$50</definedName>
    <definedName name="QB_FORMULA_36" localSheetId="0" hidden="1">'Operational Budget'!#REF!,'Operational Budget'!#REF!,'Operational Budget'!#REF!,'Operational Budget'!#REF!,'Operational Budget'!#REF!,'Operational Budget'!#REF!,'Operational Budget'!#REF!,'Operational Budget'!$I$50,'Operational Budget'!#REF!,'Operational Budget'!#REF!,'Operational Budget'!#REF!,'Operational Budget'!#REF!,'Operational Budget'!#REF!,'Operational Budget'!#REF!,'Operational Budget'!#REF!,'Operational Budget'!#REF!</definedName>
    <definedName name="QB_FORMULA_37" localSheetId="0" hidden="1">'Operational Budget'!#REF!,'Operational Budget'!#REF!,'Operational Budget'!#REF!,'Operational Budget'!#REF!,'Operational Budget'!#REF!,'Operational Budget'!#REF!,'Operational Budget'!#REF!,'Operational Budget'!#REF!,'Operational Budget'!$E$53,'Operational Budget'!$F$53,'Operational Budget'!#REF!,'Operational Budget'!#REF!,'Operational Budget'!#REF!,'Operational Budget'!#REF!,'Operational Budget'!#REF!,'Operational Budget'!#REF!</definedName>
    <definedName name="QB_FORMULA_38" localSheetId="0" hidden="1">'Operational Budget'!#REF!,'Operational Budget'!$I$53,'Operational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39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" localSheetId="0" hidden="1">'Conventions and Meetings'!#REF!,'Conventions and Meetings'!#REF!,'Conventions and Meetings'!#REF!,'Conventions and Meetings'!#REF!,'Conventions and Meetings'!#REF!,'Conventions and Meetings'!$I$13,'Operational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0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1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2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3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4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5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6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7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8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49" localSheetId="0" hidden="1">'Operational Budget'!$E$74,'Operational Budget'!$F$74,'Operational Budget'!#REF!,'Operational Budget'!#REF!,'Operational Budget'!#REF!,'Operational Budget'!#REF!,'Operational Budget'!#REF!,'Operational Budget'!#REF!,'Operational Budget'!#REF!,'Operational Budget'!$I$74,'Operational Budget'!#REF!,'Operational Budget'!#REF!,'Operational Budget'!#REF!,'Operational Budget'!#REF!,'Operational Budget'!#REF!,'Operational Budget'!#REF!</definedName>
    <definedName name="QB_FORMULA_5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50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51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52" localSheetId="0" hidden="1">'Operational Budget'!#REF!,'Operational Budget'!#REF!,'Operational Budget'!#REF!,'Operational Budget'!#REF!,'Operational Budget'!#REF!,'Operational Budget'!#REF!,'Operational Budget'!#REF!,'Operational Budget'!#REF!,'Operational Budget'!$E$80,'Operational Budget'!$F$80,'Operational Budget'!#REF!,'Operational Budget'!#REF!,'Operational Budget'!#REF!,'Operational Budget'!#REF!,'Operational Budget'!#REF!,'Operational Budget'!#REF!</definedName>
    <definedName name="QB_FORMULA_53" localSheetId="0" hidden="1">'Operational Budget'!#REF!,'Operational Budget'!$I$80,'Operational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54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55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56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57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58" localSheetId="0" hidden="1">'Conventions and Meetings'!$F$43,'Conventions and Meetings'!$G$43,'Conventions and Meetings'!#REF!,'Conventions and Meetings'!#REF!,'Operational Budget'!#REF!,'Operational Budget'!#REF!,'Operational Budget'!#REF!,'Operational Budget'!#REF!,'Operational Budget'!#REF!,'Operational Budget'!#REF!,'Conventions and Meetings'!$F$44,'Conventions and Meetings'!$G$44,'Conventions and Meetings'!#REF!,'Conventions and Meetings'!#REF!,'Operational Budget'!#REF!,'Operational Budget'!#REF!</definedName>
    <definedName name="QB_FORMULA_59" localSheetId="0" hidden="1">'Operational Budget'!#REF!,'Operational Budget'!#REF!,'Operational Budget'!#REF!,'Operational Budget'!#REF!,'Conventions and Meetings'!$F$49,'Conventions and Meetings'!$G$49,'Conventions and Meetings'!#REF!,'Conventions and Meetings'!#REF!,'Operational Budget'!#REF!,'Operational Budget'!#REF!,'Operational Budget'!#REF!,'Operational Budget'!#REF!,'Operational Budget'!#REF!,'Operational Budget'!#REF!,'Conventions and Meetings'!$D$53,'Conventions and Meetings'!$E$53</definedName>
    <definedName name="QB_FORMULA_6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60" localSheetId="0" hidden="1">'Conventions and Meetings'!$F$50,'Conventions and Meetings'!$G$50,'Conventions and Meetings'!#REF!,'Conventions and Meetings'!#REF!,'Conventions and Meetings'!#REF!,'Conventions and Meetings'!#REF!,'Conventions and Meetings'!#REF!,'Conventions and Meetings'!$I$50,'Operational Budget'!#REF!,'Operational Budget'!#REF!,'Operational Budget'!#REF!,'Operational Budget'!#REF!,'Operational Budget'!#REF!,'Operational Budget'!#REF!,'Operational Budget'!#REF!,'Operational Budget'!#REF!</definedName>
    <definedName name="QB_FORMULA_61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62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Budget'!$E$90,'Operational Budget'!$F$90</definedName>
    <definedName name="QB_FORMULA_63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Budget'!$E$81,'Operational Budget'!$F$81,'Operational Budget'!#REF!,'Operational Budget'!#REF!,'Operational Budget'!#REF!</definedName>
    <definedName name="QB_FORMULA_64" localSheetId="0" hidden="1">'Operational Budget'!#REF!,'Operational Budget'!#REF!,'Operational Budget'!#REF!,'Operational Budget'!#REF!,'Operational Budget'!$I$81,'Operational Budget'!#REF!,'Operational Budget'!#REF!,'Operational Budget'!#REF!,'Operational Budget'!#REF!,'Operational Budget'!#REF!,'Operational Budget'!#REF!,'Operational Budget'!$E$82,'Operational Budget'!$F$82,'Operational Budget'!#REF!,'Operational Budget'!#REF!,'Operational Budget'!#REF!</definedName>
    <definedName name="QB_FORMULA_65" localSheetId="0" hidden="1">'Operational Budget'!#REF!,'Operational Budget'!#REF!,'Operational Budget'!#REF!,'Operational Budget'!#REF!,'Operational Budget'!$I$82,'Operational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66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Budget'!$E$96</definedName>
    <definedName name="QB_FORMULA_67" localSheetId="0" hidden="1">'Operational Budget'!$F$96,'Operational Budget'!#REF!,'Operational Budget'!#REF!,'Operational Budget'!#REF!,'Operational Budget'!#REF!,'Operational Budget'!#REF!,'Operational Budget'!#REF!,'Operational Budget'!#REF!,'Operational Budget'!$I$96,'Operational Budget'!#REF!,'Operational Budget'!#REF!,'Operational Budget'!#REF!,'Operational Budget'!#REF!,'Operational Budget'!#REF!,'Operational Budget'!#REF!,'Operational Budget'!$E$97</definedName>
    <definedName name="QB_FORMULA_68" localSheetId="0" hidden="1">'Operational Budget'!$F$97,'Operational Budget'!#REF!,'Operational Budget'!#REF!,'Operational Budget'!#REF!,'Operational Budget'!#REF!,'Operational Budget'!#REF!,'Operational Budget'!#REF!,'Operational Budget'!#REF!,'Operational Budget'!$I$97,'Operational Budget'!#REF!,'Operational Budget'!#REF!,'Operational Budget'!#REF!,'Operational Budget'!#REF!,'Operational Budget'!#REF!,'Operational Budget'!#REF!,'Operational Budget'!#REF!</definedName>
    <definedName name="QB_FORMULA_69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Budget'!$E$103,'Operational Budget'!$F$103,'Operational Budget'!#REF!,'Operational Budget'!#REF!,'Operational Budget'!#REF!,'Operational Budget'!#REF!,'Operational Budget'!#REF!</definedName>
    <definedName name="QB_FORMULA_7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Budget'!$E$11,'Operational Budget'!$F$11</definedName>
    <definedName name="QB_FORMULA_70" localSheetId="0" hidden="1">'Operational Budget'!#REF!,'Operational Budget'!#REF!,'Operational Budget'!$I$103,'Operational Budget'!#REF!,'Operational Budget'!#REF!,'Operational Budget'!#REF!,'Operational Budget'!#REF!,'Operational Budget'!#REF!,'Operational Budget'!#REF!,'Operational Budget'!$E$99,'Operational Budget'!$F$99,'Operational Budget'!#REF!,'Operational Budget'!#REF!,'Operational Budget'!#REF!,'Operational Budget'!#REF!,'Operational Budget'!#REF!</definedName>
    <definedName name="QB_FORMULA_71" localSheetId="0" hidden="1">'Operational Budget'!#REF!,'Operational Budget'!#REF!,'Operational Budget'!$I$99,'Operational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FORMULA_72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Budget'!$E$106,'Operational Budget'!$F$106,'Operational Budget'!#REF!,'Operational Budget'!#REF!,'Operational Budget'!#REF!,'Operational Budget'!#REF!,'Operational Budget'!#REF!</definedName>
    <definedName name="QB_FORMULA_73" localSheetId="0" hidden="1">'Operational Budget'!#REF!,'Operational Budget'!#REF!,'Operational Budget'!$I$106,'Operational Budget'!#REF!,'Operational Budget'!#REF!,'Operational Budget'!#REF!,'Operational Budget'!#REF!,'Operational Budget'!#REF!,'Operational Budget'!#REF!</definedName>
    <definedName name="QB_FORMULA_8" localSheetId="0" hidden="1">'Operational Budget'!#REF!,'Operational Budget'!#REF!,'Operational Budget'!#REF!,'Operational Budget'!#REF!,'Operational Budget'!#REF!,'Operational Budget'!#REF!,'Operational Budget'!#REF!,'Operational Budget'!$I$11,'Operational Budget'!#REF!,'Operational Budget'!#REF!,'Operational Budget'!#REF!,'Operational Budget'!#REF!,'Operational Budget'!#REF!,'Operational Budget'!#REF!,'Operational Budget'!#REF!,'Operational Budget'!#REF!</definedName>
    <definedName name="QB_FORMULA_9" localSheetId="0" hidden="1">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Budget'!#REF!,'Operational Budget'!#REF!</definedName>
    <definedName name="QB_ROW_102250" localSheetId="0" hidden="1">'Operational Budget'!$C$67</definedName>
    <definedName name="QB_ROW_10250" localSheetId="0" hidden="1">'Conventions and Meetings'!$C$8</definedName>
    <definedName name="QB_ROW_104250" localSheetId="0" hidden="1">'Operational Budget'!$C$70</definedName>
    <definedName name="QB_ROW_105250" localSheetId="0" hidden="1">'Conventions and Meetings'!$C$10</definedName>
    <definedName name="QB_ROW_106040" localSheetId="0" hidden="1">'Operational Budget'!$B$18</definedName>
    <definedName name="QB_ROW_106340" localSheetId="0" hidden="1">'Operational Budget'!$B$21</definedName>
    <definedName name="QB_ROW_107250" localSheetId="0" hidden="1">'Operational Budget'!$C$19</definedName>
    <definedName name="QB_ROW_110250" localSheetId="0" hidden="1">'Operational Budget'!$C$65</definedName>
    <definedName name="QB_ROW_115250" localSheetId="0" hidden="1">'Conventions and Meetings'!$C$12</definedName>
    <definedName name="QB_ROW_121250" localSheetId="0" hidden="1">'Operational Budget'!$C$46</definedName>
    <definedName name="QB_ROW_122250" localSheetId="0" hidden="1">'Operational Budget'!$C$40</definedName>
    <definedName name="QB_ROW_135030" localSheetId="0" hidden="1">'Operational Budget'!$A$93</definedName>
    <definedName name="QB_ROW_135330" localSheetId="0" hidden="1">'Operational Budget'!$A$96</definedName>
    <definedName name="QB_ROW_137240" localSheetId="0" hidden="1">'Operational Budget'!$B$94</definedName>
    <definedName name="QB_ROW_138240" localSheetId="0" hidden="1">'Operational Budget'!$B$95</definedName>
    <definedName name="QB_ROW_140030" localSheetId="0" hidden="1">'Operational Budget'!$A$100</definedName>
    <definedName name="QB_ROW_140330" localSheetId="0" hidden="1">'Operational Budget'!$A$103</definedName>
    <definedName name="QB_ROW_142240" localSheetId="0" hidden="1">'Operational Budget'!$B$101</definedName>
    <definedName name="QB_ROW_15040" localSheetId="0" hidden="1">'Operational Budget'!$B$51</definedName>
    <definedName name="QB_ROW_15340" localSheetId="0" hidden="1">'Operational Budget'!$B$53</definedName>
    <definedName name="QB_ROW_16250" localSheetId="0" hidden="1">'Operational Budget'!$C$44</definedName>
    <definedName name="QB_ROW_166260" localSheetId="0" hidden="1">'Operational Budget'!#REF!</definedName>
    <definedName name="QB_ROW_170260" localSheetId="0" hidden="1">'Operational Budget'!#REF!</definedName>
    <definedName name="QB_ROW_17040" localSheetId="0" hidden="1">'Operational Budget'!$B$43</definedName>
    <definedName name="QB_ROW_171250" localSheetId="0" hidden="1">'Operational Budget'!$C$52</definedName>
    <definedName name="QB_ROW_17340" localSheetId="0" hidden="1">'Operational Budget'!$B$50</definedName>
    <definedName name="QB_ROW_174260" localSheetId="0" hidden="1">'Operational Budget'!#REF!</definedName>
    <definedName name="QB_ROW_175260" localSheetId="0" hidden="1">'Operational Budget'!#REF!</definedName>
    <definedName name="QB_ROW_177260" localSheetId="0" hidden="1">'Operational Budget'!#REF!</definedName>
    <definedName name="QB_ROW_179260" localSheetId="0" hidden="1">'Conventions and Meetings'!$C$46</definedName>
    <definedName name="QB_ROW_180260" localSheetId="0" hidden="1">'Conventions and Meetings'!$C$47</definedName>
    <definedName name="QB_ROW_18040" localSheetId="0" hidden="1">'Operational Budget'!$B$38</definedName>
    <definedName name="QB_ROW_182260" localSheetId="0" hidden="1">'Conventions and Meetings'!$C$49</definedName>
    <definedName name="QB_ROW_18301" localSheetId="0" hidden="1">'Operational Budget'!$A$106</definedName>
    <definedName name="QB_ROW_18340" localSheetId="0" hidden="1">'Operational Budget'!$B$42</definedName>
    <definedName name="QB_ROW_19011" localSheetId="0" hidden="1">'Operational Budget'!$A$3</definedName>
    <definedName name="QB_ROW_19250" localSheetId="0" hidden="1">'Operational Budget'!$C$39</definedName>
    <definedName name="QB_ROW_19311" localSheetId="0" hidden="1">'Operational Budget'!$A$82</definedName>
    <definedName name="QB_ROW_196250" localSheetId="0" hidden="1">'Operational Budget'!$C$47</definedName>
    <definedName name="QB_ROW_198250" localSheetId="0" hidden="1">'Operational Budget'!$C$86</definedName>
    <definedName name="QB_ROW_200250" localSheetId="0" hidden="1">'Conventions and Meetings'!$C$33</definedName>
    <definedName name="QB_ROW_20031" localSheetId="0" hidden="1">'Operational Budget'!$A$4</definedName>
    <definedName name="QB_ROW_203250" localSheetId="0" hidden="1">'Operational Budget'!$C$56</definedName>
    <definedName name="QB_ROW_20331" localSheetId="0" hidden="1">'Operational Budget'!$A$31</definedName>
    <definedName name="QB_ROW_21031" localSheetId="0" hidden="1">'Operational Budget'!$A$33</definedName>
    <definedName name="QB_ROW_21250" localSheetId="0" hidden="1">'Operational Budget'!$C$36</definedName>
    <definedName name="QB_ROW_21331" localSheetId="0" hidden="1">'Operational Budget'!$A$81</definedName>
    <definedName name="QB_ROW_22011" localSheetId="0" hidden="1">'Operational Budget'!$A$91</definedName>
    <definedName name="QB_ROW_22250" localSheetId="0" hidden="1">'Operational Budget'!$C$35</definedName>
    <definedName name="QB_ROW_22311" localSheetId="0" hidden="1">'Operational Budget'!#REF!</definedName>
    <definedName name="QB_ROW_225250" localSheetId="0" hidden="1">'Operational Budget'!$C$57</definedName>
    <definedName name="QB_ROW_227250" localSheetId="0" hidden="1">'Conventions and Meetings'!$C$13</definedName>
    <definedName name="QB_ROW_228250" localSheetId="0" hidden="1">'Operational Budget'!$C$72</definedName>
    <definedName name="QB_ROW_23021" localSheetId="0" hidden="1">'Operational Budget'!$A$92</definedName>
    <definedName name="QB_ROW_230250" localSheetId="0" hidden="1">'Conventions and Meetings'!$C$34</definedName>
    <definedName name="QB_ROW_23040" localSheetId="0" hidden="1">'Operational Budget'!$B$34</definedName>
    <definedName name="QB_ROW_23321" localSheetId="0" hidden="1">'Operational Budget'!$A$97</definedName>
    <definedName name="QB_ROW_23340" localSheetId="0" hidden="1">'Operational Budget'!$B$37</definedName>
    <definedName name="QB_ROW_24021" localSheetId="0" hidden="1">'Operational Budget'!$A$98</definedName>
    <definedName name="QB_ROW_240250" localSheetId="0" hidden="1">'Operational Budget'!#REF!</definedName>
    <definedName name="QB_ROW_241250" localSheetId="0" hidden="1">'Operational Budget'!$C$49</definedName>
    <definedName name="QB_ROW_24250" localSheetId="0" hidden="1">'Conventions and Meetings'!$C$31</definedName>
    <definedName name="QB_ROW_24321" localSheetId="0" hidden="1">'Operational Budget'!$A$99</definedName>
    <definedName name="QB_ROW_245250" localSheetId="0" hidden="1">'Operational Budget'!$C$73</definedName>
    <definedName name="QB_ROW_25250" localSheetId="0" hidden="1">'Conventions and Meetings'!$C$30</definedName>
    <definedName name="QB_ROW_26250" localSheetId="0" hidden="1">'Conventions and Meetings'!$C$28</definedName>
    <definedName name="QB_ROW_27250" localSheetId="0" hidden="1">'Conventions and Meetings'!$C$26</definedName>
    <definedName name="QB_ROW_28250" localSheetId="0" hidden="1">'Conventions and Meetings'!$C$29</definedName>
    <definedName name="QB_ROW_29250" localSheetId="0" hidden="1">'Conventions and Meetings'!$C$24</definedName>
    <definedName name="QB_ROW_30250" localSheetId="0" hidden="1">'Conventions and Meetings'!$C$25</definedName>
    <definedName name="QB_ROW_31250" localSheetId="0" hidden="1">'Conventions and Meetings'!$C$27</definedName>
    <definedName name="QB_ROW_33250" localSheetId="0" hidden="1">'Conventions and Meetings'!$C$22</definedName>
    <definedName name="QB_ROW_34250" localSheetId="0" hidden="1">'Conventions and Meetings'!$C$21</definedName>
    <definedName name="QB_ROW_35040" localSheetId="0" hidden="1">'Conventions and Meetings'!$B$19</definedName>
    <definedName name="QB_ROW_35250" localSheetId="0" hidden="1">'Operational Budget'!#REF!</definedName>
    <definedName name="QB_ROW_35340" localSheetId="0" hidden="1">'Conventions and Meetings'!$B$42</definedName>
    <definedName name="QB_ROW_39250" localSheetId="0" hidden="1">'Operational Budget'!$C$23</definedName>
    <definedName name="QB_ROW_40250" localSheetId="0" hidden="1">'Operational Budget'!$C$28</definedName>
    <definedName name="QB_ROW_41040" localSheetId="0" hidden="1">'Operational Budget'!$B$22</definedName>
    <definedName name="QB_ROW_41340" localSheetId="0" hidden="1">'Operational Budget'!$B$26</definedName>
    <definedName name="QB_ROW_42250" localSheetId="0" hidden="1">'Operational Budget'!$C$16</definedName>
    <definedName name="QB_ROW_43250" localSheetId="0" hidden="1">'Operational Budget'!$C$15</definedName>
    <definedName name="QB_ROW_44250" localSheetId="0" hidden="1">'Operational Budget'!$C$14</definedName>
    <definedName name="QB_ROW_45250" localSheetId="0" hidden="1">'Operational Budget'!$C$13</definedName>
    <definedName name="QB_ROW_46250" localSheetId="0" hidden="1">'Conventions and Meetings'!$C$20</definedName>
    <definedName name="QB_ROW_47040" localSheetId="0" hidden="1">'Operational Budget'!$B$12</definedName>
    <definedName name="QB_ROW_47340" localSheetId="0" hidden="1">'Operational Budget'!$B$17</definedName>
    <definedName name="QB_ROW_48250" localSheetId="0" hidden="1">'Operational Budget'!$C$10</definedName>
    <definedName name="QB_ROW_49250" localSheetId="0" hidden="1">'Operational Budget'!$C$9</definedName>
    <definedName name="QB_ROW_50250" localSheetId="0" hidden="1">'Operational Budget'!$C$8</definedName>
    <definedName name="QB_ROW_51250" localSheetId="0" hidden="1">'Operational Budget'!$C$7</definedName>
    <definedName name="QB_ROW_52040" localSheetId="0" hidden="1">'Conventions and Meetings'!$B$6</definedName>
    <definedName name="QB_ROW_52340" localSheetId="0" hidden="1">'Conventions and Meetings'!$B$17</definedName>
    <definedName name="QB_ROW_5250" localSheetId="0" hidden="1">'Conventions and Meetings'!$C$23</definedName>
    <definedName name="QB_ROW_55250" localSheetId="0" hidden="1">'Operational Budget'!$C$6</definedName>
    <definedName name="QB_ROW_56250" localSheetId="0" hidden="1">'Conventions and Meetings'!$C$7</definedName>
    <definedName name="QB_ROW_62250" localSheetId="0" hidden="1">'Operational Budget'!$C$45</definedName>
    <definedName name="QB_ROW_64040" localSheetId="0" hidden="1">'Operational Budget'!$B$54</definedName>
    <definedName name="QB_ROW_64340" localSheetId="0" hidden="1">'Operational Budget'!$B$74</definedName>
    <definedName name="QB_ROW_65250" localSheetId="0" hidden="1">'Operational Budget'!$C$55</definedName>
    <definedName name="QB_ROW_66250" localSheetId="0" hidden="1">'Operational Budget'!$C$58</definedName>
    <definedName name="QB_ROW_67250" localSheetId="0" hidden="1">'Operational Budget'!$C$59</definedName>
    <definedName name="QB_ROW_68250" localSheetId="0" hidden="1">'Operational Budget'!$C$60</definedName>
    <definedName name="QB_ROW_69250" localSheetId="0" hidden="1">'Operational Budget'!$C$61</definedName>
    <definedName name="QB_ROW_70250" localSheetId="0" hidden="1">'Operational Budget'!$C$62</definedName>
    <definedName name="QB_ROW_7250" localSheetId="0" hidden="1">'Conventions and Meetings'!$C$9</definedName>
    <definedName name="QB_ROW_74250" localSheetId="0" hidden="1">'Operational Budget'!$C$63</definedName>
    <definedName name="QB_ROW_76250" localSheetId="0" hidden="1">'Operational Budget'!$C$64</definedName>
    <definedName name="QB_ROW_79040" localSheetId="0" hidden="1">'Operational Budget'!$B$75</definedName>
    <definedName name="QB_ROW_79340" localSheetId="0" hidden="1">'Operational Budget'!$B$80</definedName>
    <definedName name="QB_ROW_80250" localSheetId="0" hidden="1">'Operational Budget'!$C$76</definedName>
    <definedName name="QB_ROW_8040" localSheetId="0" hidden="1">'Operational Budget'!$B$5</definedName>
    <definedName name="QB_ROW_81250" localSheetId="0" hidden="1">'Operational Budget'!$C$77</definedName>
    <definedName name="QB_ROW_82250" localSheetId="0" hidden="1">'Operational Budget'!$C$78</definedName>
    <definedName name="QB_ROW_8340" localSheetId="0" hidden="1">'Operational Budget'!$B$11</definedName>
    <definedName name="QB_ROW_85250" localSheetId="0" hidden="1">'Operational Budget'!$C$79</definedName>
    <definedName name="QB_ROW_86321" localSheetId="0" hidden="1">'Operational Budget'!$A$32</definedName>
    <definedName name="QB_ROW_87040" localSheetId="0" hidden="1">'Operational Budget'!#REF!</definedName>
    <definedName name="QB_ROW_87340" localSheetId="0" hidden="1">'Operational Budget'!#REF!</definedName>
    <definedName name="QB_ROW_88050" localSheetId="0" hidden="1">'Operational Budget'!#REF!</definedName>
    <definedName name="QB_ROW_88260" localSheetId="0" hidden="1">'Operational Budget'!#REF!</definedName>
    <definedName name="QB_ROW_88350" localSheetId="0" hidden="1">'Operational Budget'!#REF!</definedName>
    <definedName name="QB_ROW_89050" localSheetId="0" hidden="1">'Conventions and Meetings'!$C$44</definedName>
    <definedName name="QB_ROW_89350" localSheetId="0" hidden="1">'Conventions and Meetings'!$C$53</definedName>
    <definedName name="QB_ROW_94040" localSheetId="0" hidden="1">'Operational Budget'!$B$85</definedName>
    <definedName name="QB_ROW_94340" localSheetId="0" hidden="1">'Operational Budget'!$B$90</definedName>
    <definedName name="QB_ROW_97250" localSheetId="0" hidden="1">'Operational Budget'!$C$69</definedName>
    <definedName name="QB_ROW_98250" localSheetId="0" hidden="1">'Operational Budget'!$C$66</definedName>
    <definedName name="QBCANSUPPORTUPDATE" localSheetId="0">TRUE</definedName>
    <definedName name="QBCOMPANYFILENAME" localSheetId="0">"V:\Company Files\MVCAC\MVCAC.QBW"</definedName>
    <definedName name="QBENDDATE" localSheetId="0">20210630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"ce4696293fbf4367b4d8efe606072caa"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20180701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1" l="1"/>
  <c r="Q81" i="1"/>
  <c r="Q26" i="1"/>
  <c r="P29" i="1"/>
  <c r="G30" i="1"/>
  <c r="F30" i="1"/>
  <c r="E30" i="1"/>
  <c r="J8" i="1"/>
  <c r="Q21" i="1"/>
  <c r="Q11" i="1"/>
  <c r="Q17" i="1"/>
  <c r="Q97" i="1"/>
  <c r="V19" i="2"/>
  <c r="Q53" i="2" l="1"/>
  <c r="Q42" i="2"/>
  <c r="Q17" i="2"/>
  <c r="Q90" i="1"/>
  <c r="Q80" i="1"/>
  <c r="Q74" i="1"/>
  <c r="Q53" i="1"/>
  <c r="Q50" i="1"/>
  <c r="Q42" i="1"/>
  <c r="Q37" i="1"/>
  <c r="N53" i="2"/>
  <c r="N42" i="2"/>
  <c r="P52" i="2"/>
  <c r="P51" i="2"/>
  <c r="P50" i="2"/>
  <c r="P49" i="2"/>
  <c r="P48" i="2"/>
  <c r="P47" i="2"/>
  <c r="P46" i="2"/>
  <c r="P41" i="2"/>
  <c r="P40" i="2"/>
  <c r="P39" i="2"/>
  <c r="P38" i="2"/>
  <c r="P37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6" i="2"/>
  <c r="P15" i="2"/>
  <c r="P14" i="2"/>
  <c r="P13" i="2"/>
  <c r="P12" i="2"/>
  <c r="P10" i="2"/>
  <c r="P9" i="2"/>
  <c r="P8" i="2"/>
  <c r="P7" i="2"/>
  <c r="N17" i="2"/>
  <c r="N103" i="1"/>
  <c r="P103" i="1" s="1"/>
  <c r="N96" i="1"/>
  <c r="P96" i="1" s="1"/>
  <c r="N90" i="1"/>
  <c r="N80" i="1"/>
  <c r="N74" i="1"/>
  <c r="N53" i="1"/>
  <c r="G49" i="1"/>
  <c r="J49" i="1"/>
  <c r="M49" i="1"/>
  <c r="P49" i="1"/>
  <c r="N50" i="1"/>
  <c r="N42" i="1"/>
  <c r="N37" i="1"/>
  <c r="N21" i="1"/>
  <c r="N17" i="1"/>
  <c r="N11" i="1"/>
  <c r="P102" i="1"/>
  <c r="P101" i="1"/>
  <c r="P95" i="1"/>
  <c r="P94" i="1"/>
  <c r="P89" i="1"/>
  <c r="P88" i="1"/>
  <c r="P87" i="1"/>
  <c r="P79" i="1"/>
  <c r="P78" i="1"/>
  <c r="P77" i="1"/>
  <c r="P76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2" i="1"/>
  <c r="P48" i="1"/>
  <c r="P47" i="1"/>
  <c r="P46" i="1"/>
  <c r="P45" i="1"/>
  <c r="P44" i="1"/>
  <c r="P41" i="1"/>
  <c r="P40" i="1"/>
  <c r="P39" i="1"/>
  <c r="P36" i="1"/>
  <c r="P35" i="1"/>
  <c r="P25" i="1"/>
  <c r="P24" i="1"/>
  <c r="P28" i="1"/>
  <c r="P23" i="1"/>
  <c r="P20" i="1"/>
  <c r="P19" i="1"/>
  <c r="P16" i="1"/>
  <c r="P15" i="1"/>
  <c r="P14" i="1"/>
  <c r="P13" i="1"/>
  <c r="P10" i="1"/>
  <c r="P9" i="1"/>
  <c r="P8" i="1"/>
  <c r="P7" i="1"/>
  <c r="M20" i="1"/>
  <c r="J87" i="1"/>
  <c r="J90" i="1" s="1"/>
  <c r="K96" i="1"/>
  <c r="K103" i="1"/>
  <c r="M90" i="1"/>
  <c r="L90" i="1"/>
  <c r="H42" i="2"/>
  <c r="H90" i="1"/>
  <c r="I42" i="2"/>
  <c r="J37" i="2"/>
  <c r="J35" i="2"/>
  <c r="H103" i="1"/>
  <c r="J102" i="1"/>
  <c r="L21" i="1"/>
  <c r="O90" i="1"/>
  <c r="O42" i="2"/>
  <c r="O53" i="2"/>
  <c r="O17" i="2"/>
  <c r="P104" i="1" l="1"/>
  <c r="N81" i="1"/>
  <c r="N97" i="1"/>
  <c r="N104" i="1" s="1"/>
  <c r="Q32" i="1"/>
  <c r="Q43" i="2"/>
  <c r="Q55" i="2" s="1"/>
  <c r="Q105" i="1" s="1"/>
  <c r="Q106" i="1" s="1"/>
  <c r="P42" i="2"/>
  <c r="P53" i="2"/>
  <c r="N43" i="2"/>
  <c r="P17" i="2"/>
  <c r="P90" i="1"/>
  <c r="O43" i="2"/>
  <c r="O55" i="2" s="1"/>
  <c r="O105" i="1" s="1"/>
  <c r="O80" i="1"/>
  <c r="P80" i="1" s="1"/>
  <c r="O74" i="1"/>
  <c r="P74" i="1" s="1"/>
  <c r="O53" i="1"/>
  <c r="P53" i="1" s="1"/>
  <c r="O50" i="1"/>
  <c r="P50" i="1" s="1"/>
  <c r="O42" i="1"/>
  <c r="P42" i="1" s="1"/>
  <c r="O37" i="1"/>
  <c r="P37" i="1" s="1"/>
  <c r="O21" i="1"/>
  <c r="P21" i="1" s="1"/>
  <c r="O17" i="1"/>
  <c r="P17" i="1" s="1"/>
  <c r="O11" i="1"/>
  <c r="P11" i="1" s="1"/>
  <c r="K53" i="2"/>
  <c r="M52" i="2"/>
  <c r="M51" i="2"/>
  <c r="M50" i="2"/>
  <c r="M49" i="2"/>
  <c r="M48" i="2"/>
  <c r="M47" i="2"/>
  <c r="M46" i="2"/>
  <c r="M45" i="2"/>
  <c r="L53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L42" i="2"/>
  <c r="K42" i="2"/>
  <c r="M13" i="2"/>
  <c r="M12" i="2"/>
  <c r="M10" i="2"/>
  <c r="M9" i="2"/>
  <c r="M8" i="2"/>
  <c r="M7" i="2"/>
  <c r="L17" i="2"/>
  <c r="K17" i="2"/>
  <c r="M101" i="1"/>
  <c r="M103" i="1" s="1"/>
  <c r="M95" i="1"/>
  <c r="M94" i="1"/>
  <c r="M79" i="1"/>
  <c r="M78" i="1"/>
  <c r="M77" i="1"/>
  <c r="M76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2" i="1"/>
  <c r="M53" i="1" s="1"/>
  <c r="M48" i="1"/>
  <c r="M47" i="1"/>
  <c r="M46" i="1"/>
  <c r="M45" i="1"/>
  <c r="M44" i="1"/>
  <c r="M41" i="1"/>
  <c r="M40" i="1"/>
  <c r="M39" i="1"/>
  <c r="M36" i="1"/>
  <c r="M35" i="1"/>
  <c r="M24" i="1"/>
  <c r="M28" i="1"/>
  <c r="M23" i="1"/>
  <c r="M19" i="1"/>
  <c r="M16" i="1"/>
  <c r="M15" i="1"/>
  <c r="M14" i="1"/>
  <c r="M13" i="1"/>
  <c r="M10" i="1"/>
  <c r="M9" i="1"/>
  <c r="M8" i="1"/>
  <c r="M7" i="1"/>
  <c r="M6" i="1"/>
  <c r="K90" i="1"/>
  <c r="K80" i="1"/>
  <c r="K74" i="1"/>
  <c r="K53" i="1"/>
  <c r="K50" i="1"/>
  <c r="K42" i="1"/>
  <c r="K37" i="1"/>
  <c r="K21" i="1"/>
  <c r="M21" i="1" s="1"/>
  <c r="K17" i="1"/>
  <c r="K11" i="1"/>
  <c r="L80" i="1"/>
  <c r="L74" i="1"/>
  <c r="L53" i="1"/>
  <c r="L50" i="1"/>
  <c r="L42" i="1"/>
  <c r="L37" i="1"/>
  <c r="J101" i="1"/>
  <c r="J103" i="1" s="1"/>
  <c r="J95" i="1"/>
  <c r="J94" i="1"/>
  <c r="H96" i="1"/>
  <c r="J79" i="1"/>
  <c r="J78" i="1"/>
  <c r="J77" i="1"/>
  <c r="J76" i="1"/>
  <c r="H80" i="1"/>
  <c r="J73" i="1"/>
  <c r="J72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H74" i="1"/>
  <c r="J52" i="1"/>
  <c r="H53" i="1"/>
  <c r="J48" i="1"/>
  <c r="J47" i="1"/>
  <c r="J46" i="1"/>
  <c r="J45" i="1"/>
  <c r="J44" i="1"/>
  <c r="H50" i="1"/>
  <c r="J41" i="1"/>
  <c r="J40" i="1"/>
  <c r="J39" i="1"/>
  <c r="H42" i="1"/>
  <c r="J36" i="1"/>
  <c r="J35" i="1"/>
  <c r="L17" i="1"/>
  <c r="L11" i="1"/>
  <c r="H53" i="2"/>
  <c r="J52" i="2"/>
  <c r="J51" i="2"/>
  <c r="J50" i="2"/>
  <c r="J49" i="2"/>
  <c r="J48" i="2"/>
  <c r="J47" i="2"/>
  <c r="J46" i="2"/>
  <c r="J4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24" i="1"/>
  <c r="J28" i="1"/>
  <c r="J23" i="1"/>
  <c r="J19" i="1"/>
  <c r="J16" i="1"/>
  <c r="J15" i="1"/>
  <c r="J14" i="1"/>
  <c r="H17" i="1"/>
  <c r="J10" i="1"/>
  <c r="J9" i="1"/>
  <c r="J7" i="1"/>
  <c r="J6" i="1"/>
  <c r="H11" i="1"/>
  <c r="J13" i="2"/>
  <c r="J12" i="2"/>
  <c r="J10" i="2"/>
  <c r="J9" i="2"/>
  <c r="J8" i="2"/>
  <c r="J7" i="2"/>
  <c r="H17" i="2"/>
  <c r="H43" i="2" s="1"/>
  <c r="I53" i="2"/>
  <c r="G62" i="1"/>
  <c r="G68" i="1"/>
  <c r="I42" i="1"/>
  <c r="G41" i="1"/>
  <c r="G101" i="1"/>
  <c r="G95" i="1"/>
  <c r="G94" i="1"/>
  <c r="G90" i="1"/>
  <c r="G86" i="1"/>
  <c r="G85" i="1"/>
  <c r="G79" i="1"/>
  <c r="G77" i="1"/>
  <c r="G76" i="1"/>
  <c r="G73" i="1"/>
  <c r="G72" i="1"/>
  <c r="G70" i="1"/>
  <c r="G69" i="1"/>
  <c r="G67" i="1"/>
  <c r="G66" i="1"/>
  <c r="G65" i="1"/>
  <c r="G64" i="1"/>
  <c r="G63" i="1"/>
  <c r="G59" i="1"/>
  <c r="G58" i="1"/>
  <c r="G57" i="1"/>
  <c r="G56" i="1"/>
  <c r="G55" i="1"/>
  <c r="G54" i="1"/>
  <c r="G52" i="1"/>
  <c r="G47" i="1"/>
  <c r="G46" i="1"/>
  <c r="G45" i="1"/>
  <c r="G44" i="1"/>
  <c r="G40" i="1"/>
  <c r="G39" i="1"/>
  <c r="G36" i="1"/>
  <c r="G35" i="1"/>
  <c r="G24" i="1"/>
  <c r="G28" i="1"/>
  <c r="G23" i="1"/>
  <c r="G19" i="1"/>
  <c r="G16" i="1"/>
  <c r="G15" i="1"/>
  <c r="G14" i="1"/>
  <c r="G13" i="1"/>
  <c r="G10" i="1"/>
  <c r="G9" i="1"/>
  <c r="G8" i="1"/>
  <c r="G7" i="1"/>
  <c r="G6" i="1"/>
  <c r="I17" i="2"/>
  <c r="I43" i="2" s="1"/>
  <c r="I26" i="1"/>
  <c r="Q82" i="1" l="1"/>
  <c r="I55" i="2"/>
  <c r="I105" i="1" s="1"/>
  <c r="J42" i="2"/>
  <c r="P43" i="2"/>
  <c r="P55" i="2" s="1"/>
  <c r="P105" i="1" s="1"/>
  <c r="N55" i="2"/>
  <c r="N105" i="1" s="1"/>
  <c r="J96" i="1"/>
  <c r="J97" i="1" s="1"/>
  <c r="L81" i="1"/>
  <c r="H81" i="1"/>
  <c r="O81" i="1"/>
  <c r="P81" i="1" s="1"/>
  <c r="K81" i="1"/>
  <c r="K43" i="2"/>
  <c r="K55" i="2" s="1"/>
  <c r="K105" i="1" s="1"/>
  <c r="L43" i="2"/>
  <c r="L55" i="2" s="1"/>
  <c r="L105" i="1" s="1"/>
  <c r="M42" i="2"/>
  <c r="M17" i="2"/>
  <c r="M53" i="2"/>
  <c r="M11" i="1"/>
  <c r="M96" i="1"/>
  <c r="M97" i="1" s="1"/>
  <c r="M104" i="1" s="1"/>
  <c r="M42" i="1"/>
  <c r="M17" i="1"/>
  <c r="M50" i="1"/>
  <c r="M74" i="1"/>
  <c r="M80" i="1"/>
  <c r="M37" i="1"/>
  <c r="J53" i="2"/>
  <c r="K97" i="1"/>
  <c r="K104" i="1" s="1"/>
  <c r="H104" i="1"/>
  <c r="J104" i="1" s="1"/>
  <c r="H97" i="1"/>
  <c r="J42" i="1"/>
  <c r="J13" i="1"/>
  <c r="H55" i="2"/>
  <c r="J17" i="2"/>
  <c r="G60" i="1"/>
  <c r="G61" i="1"/>
  <c r="G96" i="1"/>
  <c r="G17" i="1"/>
  <c r="G103" i="1"/>
  <c r="G80" i="1"/>
  <c r="G53" i="1"/>
  <c r="G99" i="1"/>
  <c r="G11" i="1"/>
  <c r="G50" i="1"/>
  <c r="G42" i="1"/>
  <c r="G37" i="1"/>
  <c r="G26" i="1"/>
  <c r="G21" i="1"/>
  <c r="E53" i="2"/>
  <c r="G52" i="2"/>
  <c r="F52" i="2"/>
  <c r="G51" i="2"/>
  <c r="F51" i="2"/>
  <c r="D49" i="2"/>
  <c r="G49" i="2" s="1"/>
  <c r="G47" i="2"/>
  <c r="F47" i="2"/>
  <c r="G46" i="2"/>
  <c r="F46" i="2"/>
  <c r="G34" i="2"/>
  <c r="F34" i="2"/>
  <c r="G33" i="2"/>
  <c r="F33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E42" i="2" s="1"/>
  <c r="G21" i="2"/>
  <c r="F21" i="2"/>
  <c r="D20" i="2"/>
  <c r="D42" i="2" s="1"/>
  <c r="E17" i="2"/>
  <c r="D17" i="2"/>
  <c r="G13" i="2"/>
  <c r="F13" i="2"/>
  <c r="G12" i="2"/>
  <c r="F12" i="2"/>
  <c r="G10" i="2"/>
  <c r="F10" i="2"/>
  <c r="G9" i="2"/>
  <c r="F9" i="2"/>
  <c r="G8" i="2"/>
  <c r="F8" i="2"/>
  <c r="G7" i="2"/>
  <c r="F7" i="2"/>
  <c r="M81" i="1" l="1"/>
  <c r="M82" i="1" s="1"/>
  <c r="M43" i="2"/>
  <c r="M55" i="2" s="1"/>
  <c r="M105" i="1" s="1"/>
  <c r="E55" i="2"/>
  <c r="J43" i="2"/>
  <c r="J55" i="2" s="1"/>
  <c r="J105" i="1" s="1"/>
  <c r="G32" i="1"/>
  <c r="D53" i="2"/>
  <c r="F53" i="2" s="1"/>
  <c r="G74" i="1"/>
  <c r="F49" i="2"/>
  <c r="F42" i="2"/>
  <c r="F17" i="2"/>
  <c r="F20" i="2"/>
  <c r="G20" i="2"/>
  <c r="G42" i="2"/>
  <c r="G17" i="2"/>
  <c r="E103" i="1"/>
  <c r="E99" i="1" s="1"/>
  <c r="E96" i="1"/>
  <c r="E97" i="1" s="1"/>
  <c r="F90" i="1"/>
  <c r="E90" i="1"/>
  <c r="I80" i="1"/>
  <c r="J80" i="1" s="1"/>
  <c r="F80" i="1"/>
  <c r="E80" i="1"/>
  <c r="I74" i="1"/>
  <c r="J74" i="1" s="1"/>
  <c r="F74" i="1"/>
  <c r="E74" i="1"/>
  <c r="I53" i="1"/>
  <c r="J53" i="1" s="1"/>
  <c r="F53" i="1"/>
  <c r="E53" i="1"/>
  <c r="I50" i="1"/>
  <c r="J50" i="1" s="1"/>
  <c r="F50" i="1"/>
  <c r="E50" i="1"/>
  <c r="F42" i="1"/>
  <c r="E42" i="1"/>
  <c r="I37" i="1"/>
  <c r="F37" i="1"/>
  <c r="E37" i="1"/>
  <c r="I21" i="1"/>
  <c r="J21" i="1" s="1"/>
  <c r="F21" i="1"/>
  <c r="E21" i="1"/>
  <c r="I17" i="1"/>
  <c r="J17" i="1" s="1"/>
  <c r="F17" i="1"/>
  <c r="E17" i="1"/>
  <c r="I11" i="1"/>
  <c r="F11" i="1"/>
  <c r="E11" i="1"/>
  <c r="J11" i="1" l="1"/>
  <c r="I81" i="1"/>
  <c r="J37" i="1"/>
  <c r="J81" i="1" s="1"/>
  <c r="G53" i="2"/>
  <c r="G55" i="2" s="1"/>
  <c r="D55" i="2"/>
  <c r="F55" i="2"/>
  <c r="G31" i="1"/>
  <c r="E104" i="1"/>
  <c r="G81" i="1"/>
  <c r="F81" i="1"/>
  <c r="E81" i="1"/>
  <c r="G82" i="1" l="1"/>
  <c r="K30" i="1" l="1"/>
  <c r="H30" i="1"/>
  <c r="O30" i="1"/>
  <c r="M30" i="1"/>
  <c r="N30" i="1"/>
  <c r="I30" i="1"/>
  <c r="I31" i="1" s="1"/>
  <c r="I32" i="1" s="1"/>
  <c r="I82" i="1" s="1"/>
  <c r="I106" i="1" s="1"/>
  <c r="P30" i="1"/>
  <c r="L30" i="1"/>
  <c r="Q30" i="1"/>
  <c r="J30" i="1"/>
  <c r="M106" i="1"/>
  <c r="K106" i="1"/>
  <c r="K82" i="1"/>
  <c r="K32" i="1"/>
  <c r="K31" i="1"/>
  <c r="K26" i="1"/>
  <c r="H106" i="1"/>
  <c r="H82" i="1"/>
  <c r="P82" i="1"/>
  <c r="J106" i="1"/>
  <c r="J82" i="1"/>
  <c r="H32" i="1"/>
  <c r="J32" i="1"/>
  <c r="F106" i="1"/>
  <c r="F82" i="1"/>
  <c r="F32" i="1"/>
  <c r="F31" i="1"/>
  <c r="F26" i="1"/>
  <c r="P32" i="1"/>
  <c r="P31" i="1"/>
  <c r="N82" i="1"/>
  <c r="N106" i="1"/>
  <c r="P106" i="1"/>
  <c r="J26" i="1"/>
  <c r="H26" i="1"/>
  <c r="H31" i="1"/>
  <c r="J31" i="1"/>
  <c r="O26" i="1"/>
  <c r="O31" i="1"/>
  <c r="O32" i="1"/>
  <c r="O82" i="1"/>
  <c r="O106" i="1"/>
  <c r="E26" i="1"/>
  <c r="E31" i="1"/>
  <c r="E32" i="1"/>
  <c r="E82" i="1"/>
  <c r="E106" i="1"/>
  <c r="M26" i="1"/>
  <c r="M31" i="1"/>
  <c r="M32" i="1"/>
  <c r="P26" i="1"/>
  <c r="N26" i="1"/>
  <c r="N31" i="1"/>
  <c r="N32" i="1"/>
  <c r="L26" i="1"/>
  <c r="L31" i="1"/>
  <c r="L32" i="1"/>
  <c r="L82" i="1"/>
  <c r="L106" i="1"/>
</calcChain>
</file>

<file path=xl/sharedStrings.xml><?xml version="1.0" encoding="utf-8"?>
<sst xmlns="http://schemas.openxmlformats.org/spreadsheetml/2006/main" count="284" uniqueCount="266">
  <si>
    <t xml:space="preserve">July 01, 2018 - June 30, 2019                                     
</t>
  </si>
  <si>
    <t xml:space="preserve">2022 - 2023 </t>
  </si>
  <si>
    <t>Jul '18 - Jun 19</t>
  </si>
  <si>
    <t>Budget</t>
  </si>
  <si>
    <t>% of Budget</t>
  </si>
  <si>
    <t>July 21-Jan 22</t>
  </si>
  <si>
    <t>$ Over Budget</t>
  </si>
  <si>
    <t xml:space="preserve">$ Over/Under Budget </t>
  </si>
  <si>
    <t>Ordinary Income/Expense</t>
  </si>
  <si>
    <t>Income</t>
  </si>
  <si>
    <t>120.00 · Publications Income</t>
  </si>
  <si>
    <t>120.01 · Pamphlets, Guides, Misc</t>
  </si>
  <si>
    <t>120.03 · Postage</t>
  </si>
  <si>
    <t>120.04 · Sales Tax</t>
  </si>
  <si>
    <t>120.05 · Proceedings</t>
  </si>
  <si>
    <t>120.06 · Yearbook</t>
  </si>
  <si>
    <t>Total 120.00 · Publications Income</t>
  </si>
  <si>
    <t>130.00 · Dues Income</t>
  </si>
  <si>
    <t>130.01 · Corporate Members</t>
  </si>
  <si>
    <t>130.02 · Sustaining Members</t>
  </si>
  <si>
    <t>130.03 · Associate Members</t>
  </si>
  <si>
    <t>130.04 · Affiliate Members</t>
  </si>
  <si>
    <t>Total 130.00 · Dues Income</t>
  </si>
  <si>
    <t>140.00 · Advertising Income</t>
  </si>
  <si>
    <t>140.01 · Yearbook Advertising</t>
  </si>
  <si>
    <t>140.04</t>
  </si>
  <si>
    <t>Job Posting Advertising</t>
  </si>
  <si>
    <t>Total 140.00 · Advertising Income</t>
  </si>
  <si>
    <t>150.00 · Miscellaneous Income</t>
  </si>
  <si>
    <t>150.01 · Interest, Gain/Loss on Invest</t>
  </si>
  <si>
    <t>150.02 · HB Munns Fund</t>
  </si>
  <si>
    <t>150.03</t>
  </si>
  <si>
    <t>Income from CC Card Transaction</t>
  </si>
  <si>
    <t>Total 150.00 · Miscellaneous Income</t>
  </si>
  <si>
    <t>Total Income</t>
  </si>
  <si>
    <t>Gross Profit</t>
  </si>
  <si>
    <t>Expense</t>
  </si>
  <si>
    <t>220.00 · Continuing Education Expense</t>
  </si>
  <si>
    <t>220.01 · Production Costs</t>
  </si>
  <si>
    <t>220.02 · Web Hosting/FTP</t>
  </si>
  <si>
    <t>Total 220.00 · Continuing Education Expense</t>
  </si>
  <si>
    <t>300.00 · Legal Expense</t>
  </si>
  <si>
    <t>300.01 · Requested Counsel</t>
  </si>
  <si>
    <t>300.02 · NPDES Permit</t>
  </si>
  <si>
    <t>300.03 . Legal - Code of Conduct</t>
  </si>
  <si>
    <t>Total 300.00 · Legal Expense</t>
  </si>
  <si>
    <t>400.00 · Legislative Program Expense</t>
  </si>
  <si>
    <t>400.01 · Advocate Contract</t>
  </si>
  <si>
    <t>400.05 · Printing, Awards, Misc</t>
  </si>
  <si>
    <t>400.07 · Legislative Day</t>
  </si>
  <si>
    <t>400.08 · Legislative Outreach</t>
  </si>
  <si>
    <t>400.09 . FPPC Filling Fees</t>
  </si>
  <si>
    <t>400.10 · Prior Year Expenses</t>
  </si>
  <si>
    <t>Total 400.00 · Legislative Program Expense</t>
  </si>
  <si>
    <t>500.00 · Regulatory Program Expense</t>
  </si>
  <si>
    <t>500.01 · Regulatory Contract</t>
  </si>
  <si>
    <t>Total 500.00 · Regulatory Program Expense</t>
  </si>
  <si>
    <t>600.00 · Mgmt Services &amp; Admin Exp</t>
  </si>
  <si>
    <t>600.01 · Management Contract</t>
  </si>
  <si>
    <t>600.016 · PR Expenses</t>
  </si>
  <si>
    <t>600.02 · Insurance</t>
  </si>
  <si>
    <t>600.03 · CC Trans./Bank Fees</t>
  </si>
  <si>
    <t>600.04 · Audit/Financial Review</t>
  </si>
  <si>
    <t>600.06 · Photocopies</t>
  </si>
  <si>
    <t>600.12 · State Filing Fees &amp;Taxes</t>
  </si>
  <si>
    <t>600.16 · Postage</t>
  </si>
  <si>
    <t>600.17 · Supplies</t>
  </si>
  <si>
    <t>600.18 . Computer Equipment</t>
  </si>
  <si>
    <t>600.20 · Miscellaneous</t>
  </si>
  <si>
    <t>600.21 · Storage</t>
  </si>
  <si>
    <t>600.22  Professional Services</t>
  </si>
  <si>
    <t>600.23 · West Nile Virus Call Center</t>
  </si>
  <si>
    <t>990. · Amortization Expense</t>
  </si>
  <si>
    <t>Total 600.00 · Mgmt Services &amp; Admin Exp</t>
  </si>
  <si>
    <t>700.00 · Publications Expense</t>
  </si>
  <si>
    <t>700.01 · Annual Conf Proceedings</t>
  </si>
  <si>
    <t>700.02 · Annual Yearbook</t>
  </si>
  <si>
    <t>700.03 · Pamphlets, Guides, Misc</t>
  </si>
  <si>
    <t>700.06 · Editor's Fee</t>
  </si>
  <si>
    <t>Total 700.00 · Publications Expense</t>
  </si>
  <si>
    <t>900.00 · Special Projects Exp</t>
  </si>
  <si>
    <t>900.06 · PR Committee Booth</t>
  </si>
  <si>
    <t>Total 900.00 · Special Projects Exp</t>
  </si>
  <si>
    <t>Total Expense</t>
  </si>
  <si>
    <t>Net Ordinary Income</t>
  </si>
  <si>
    <t>Other Income/Expense</t>
  </si>
  <si>
    <t>Other Income</t>
  </si>
  <si>
    <t>170.00 · Surveillance Income</t>
  </si>
  <si>
    <t>170.01 · Mosquito Pool Tests</t>
  </si>
  <si>
    <t>170.02 · Sentinel Chickens</t>
  </si>
  <si>
    <t>Total 170.00 · Surveillance Income</t>
  </si>
  <si>
    <t>Total Other Income</t>
  </si>
  <si>
    <t>Other Expense</t>
  </si>
  <si>
    <t>Total Other Expense</t>
  </si>
  <si>
    <t>270.00 · Surveillance Expense</t>
  </si>
  <si>
    <t>270.01 · UC Davis - Pools</t>
  </si>
  <si>
    <t>Total 270.00 · Surveillance Expense</t>
  </si>
  <si>
    <t>Net Surveillance Income/Expense</t>
  </si>
  <si>
    <t>Net Income</t>
  </si>
  <si>
    <t>110.00 · Annual Meeting Income</t>
  </si>
  <si>
    <t>110.01 · Registrations</t>
  </si>
  <si>
    <t>110.02 · Sponsorships</t>
  </si>
  <si>
    <t>110.03 · Exhibitors</t>
  </si>
  <si>
    <t>110.05 · Annual Mtg Advertising</t>
  </si>
  <si>
    <t>110.06 · Conference Tournament</t>
  </si>
  <si>
    <t>110.08 · Workshop</t>
  </si>
  <si>
    <t>Total 110.00 · Annual Meeting Income</t>
  </si>
  <si>
    <t>210.00 · Annual Meeting Expense</t>
  </si>
  <si>
    <t>210.01 · Hotel Expenses</t>
  </si>
  <si>
    <t>210.05 · Awards and Raffle Prizes</t>
  </si>
  <si>
    <t>210.06 · Banquet Program</t>
  </si>
  <si>
    <t>210.08 · Speaker Expenses</t>
  </si>
  <si>
    <t>210.09 · Conference Tournament</t>
  </si>
  <si>
    <t>210.10 · Refunds &amp; Cancellations</t>
  </si>
  <si>
    <t>210.11 · Exhibit Hall Set Up</t>
  </si>
  <si>
    <t>210.12 · Trustee Training</t>
  </si>
  <si>
    <t>210.13 · Staff Travel- AMG</t>
  </si>
  <si>
    <t>210.14 · Audio Visual</t>
  </si>
  <si>
    <t>210.15 · Convention Workshop Expense</t>
  </si>
  <si>
    <t>Total 210.00 · Annual Meeting Expense</t>
  </si>
  <si>
    <t>800.02 · Fall, Planning &amp; Spring Meeting</t>
  </si>
  <si>
    <t>800.02 . Fall, Planning &amp; Spring Mtg.</t>
  </si>
  <si>
    <t>800.021 · AV</t>
  </si>
  <si>
    <t>800.022 · Hotel (Room Rental and F&amp;B)</t>
  </si>
  <si>
    <t>800.023 . Speaker</t>
  </si>
  <si>
    <t>800.024 · Staff Travel AMG</t>
  </si>
  <si>
    <t>800.025- Staff travel KP</t>
  </si>
  <si>
    <t>800.07 · Committee Expenses</t>
  </si>
  <si>
    <t>800.08 · Other Expenses</t>
  </si>
  <si>
    <t>Total 800.02 · Fall, Winter &amp; Spring Meeting</t>
  </si>
  <si>
    <t>.</t>
  </si>
  <si>
    <t>July 21-June 22</t>
  </si>
  <si>
    <t>270.02 . Sentinel Chicken Farms</t>
  </si>
  <si>
    <t>210.02 · Supplies</t>
  </si>
  <si>
    <t>210.16 . Credit Card Transaction Fees</t>
  </si>
  <si>
    <t>110.10 . Trustee Session</t>
  </si>
  <si>
    <t>110.09 . 5k</t>
  </si>
  <si>
    <t>110.11 . Hotel Rebate</t>
  </si>
  <si>
    <t>150.04 . Miscellaneous Income</t>
  </si>
  <si>
    <t>Carryover from Convention &amp; Meetings</t>
  </si>
  <si>
    <t>Net Income/Loss</t>
  </si>
  <si>
    <t>$ Over/Under Budget</t>
  </si>
  <si>
    <t>July 22 -  June 23</t>
  </si>
  <si>
    <t>July 22-  June 23</t>
  </si>
  <si>
    <t>2023-2024</t>
  </si>
  <si>
    <t xml:space="preserve">2021-2022 </t>
  </si>
  <si>
    <t>July 23 - Dec 23</t>
  </si>
  <si>
    <t>150.07 . International Support Fund</t>
  </si>
  <si>
    <t>900.10 . Modernization Projects</t>
  </si>
  <si>
    <t>2022-2023</t>
  </si>
  <si>
    <t xml:space="preserve">2023-2024 </t>
  </si>
  <si>
    <t>$ Over-Under Budget</t>
  </si>
  <si>
    <t>2024 - 2025 Proposed Budget</t>
  </si>
  <si>
    <t>900.09 . International Support Fund Exp.</t>
  </si>
  <si>
    <t>210.131- Staff Travel- KP</t>
  </si>
  <si>
    <t>210.019 . 5K</t>
  </si>
  <si>
    <t>210.20 . Convention Center Rental</t>
  </si>
  <si>
    <t>210.21 . Shipping</t>
  </si>
  <si>
    <t>No printing; online only</t>
  </si>
  <si>
    <t>2023 Registration break Down</t>
  </si>
  <si>
    <t>Full Registration</t>
  </si>
  <si>
    <t>Full Reg no banquet</t>
  </si>
  <si>
    <t>Technician</t>
  </si>
  <si>
    <t>Monday Only</t>
  </si>
  <si>
    <t>full Registration</t>
  </si>
  <si>
    <t>Tuesday only</t>
  </si>
  <si>
    <t>Trustee Training</t>
  </si>
  <si>
    <t>Price raised to $1750 for members; $1100 non members</t>
  </si>
  <si>
    <t>Additional badges</t>
  </si>
  <si>
    <t>210.03 · Reeves and Walton Award</t>
  </si>
  <si>
    <t>$5 per room</t>
  </si>
  <si>
    <t>1 in person and leg day</t>
  </si>
  <si>
    <t>2024-2025</t>
  </si>
  <si>
    <t>Full Registration non members</t>
  </si>
  <si>
    <t>Non Member no banquet</t>
  </si>
  <si>
    <t>Guest</t>
  </si>
  <si>
    <t>Full Reg non members</t>
  </si>
  <si>
    <t>Non member no banquet</t>
  </si>
  <si>
    <t>Non Member Tech</t>
  </si>
  <si>
    <t>Onsite Fees</t>
  </si>
  <si>
    <t>Guest No banquet</t>
  </si>
  <si>
    <t>Extra Banquet Ticket</t>
  </si>
  <si>
    <t>We don’t really budget these, this is so we have a spot to collect them</t>
  </si>
  <si>
    <t>Accounts for offering wifi if we have app based only</t>
  </si>
  <si>
    <t>Numbers</t>
  </si>
  <si>
    <t>Reg Price</t>
  </si>
  <si>
    <t>Notes contract increase of 20%</t>
  </si>
  <si>
    <t>2024 - 2025     First Draft</t>
  </si>
  <si>
    <t>Proposed rate changes 2025</t>
  </si>
  <si>
    <t>Photographer</t>
  </si>
  <si>
    <t>210.04 · Program and sign Printing</t>
  </si>
  <si>
    <t>600.015 · Communications &amp; Public Relations</t>
  </si>
  <si>
    <t>600.05 · Telephone, Fax, &amp; Internet</t>
  </si>
  <si>
    <t>600.10 · AMCA Sustaining Membership</t>
  </si>
  <si>
    <t>900.08 . CalSURV Funding</t>
  </si>
  <si>
    <t>210.17 . COVID Protocol</t>
  </si>
  <si>
    <t>210.18 . Sponsored Printed Items</t>
  </si>
  <si>
    <t>Special Funds Income</t>
  </si>
  <si>
    <t>Total Special Funds Income</t>
  </si>
  <si>
    <t xml:space="preserve">Special Projects Expenses </t>
  </si>
  <si>
    <t>Minumum plus fees at 415 people its $301 per person</t>
  </si>
  <si>
    <t>*This is usually where we put entertainment. This year's number is much higher as we moved the Aquarium here since it wasn’t part of the F&amp;B at the hotel any longer</t>
  </si>
  <si>
    <t>July 23 - Current (as of 3.25.2024)</t>
  </si>
  <si>
    <t>This is part of their package but we order the bags etc</t>
  </si>
  <si>
    <t>Full Registration without a banquet</t>
  </si>
  <si>
    <t xml:space="preserve">Notes estimated increase, number to be formalized with contract. </t>
  </si>
  <si>
    <t>Google workspace included</t>
  </si>
  <si>
    <t>600.15 · Membership/Website/Subscriptions</t>
  </si>
  <si>
    <t>Absorbed in cost of registration</t>
  </si>
  <si>
    <t>Tech Both Days</t>
  </si>
  <si>
    <t>Tech Monday Only</t>
  </si>
  <si>
    <t>Tech Tue only</t>
  </si>
  <si>
    <t>Technician Average (75)</t>
  </si>
  <si>
    <t>Food costs:</t>
  </si>
  <si>
    <t>Sunday</t>
  </si>
  <si>
    <t xml:space="preserve">Monday   </t>
  </si>
  <si>
    <t xml:space="preserve">Tuesday  </t>
  </si>
  <si>
    <t>A slight increase hopefully in sponsors</t>
  </si>
  <si>
    <t>at 415 people would equal $371 average price; this years average was $335. This does not include exhibitors and would be lower than most of our conferences have been in attendance</t>
  </si>
  <si>
    <t>Monday only Tech/Students/CDPH</t>
  </si>
  <si>
    <t>31 this year at $75; 30 at 125 will also include transport</t>
  </si>
  <si>
    <t>Onsite/Late fees (takes affect after Christmas)</t>
  </si>
  <si>
    <t>Add 30 per reg</t>
  </si>
  <si>
    <t>Guest all days and banquet (includes lunch)</t>
  </si>
  <si>
    <t>Guest all days no banquet (includes Lunch)</t>
  </si>
  <si>
    <t>ASSETS</t>
  </si>
  <si>
    <t>TOTAL
AS OF MAR 31, 2024</t>
  </si>
  <si>
    <t>TOTAL
AS OF MAR 31, 2023</t>
  </si>
  <si>
    <t xml:space="preserve">MVCAC Current Assests as of March 31, 2024 </t>
  </si>
  <si>
    <t>CHANGE</t>
  </si>
  <si>
    <t xml:space="preserve">Total Current Assets                                                                  </t>
  </si>
  <si>
    <t>1004 Checking (Umpqua Bank)</t>
  </si>
  <si>
    <t>1005 Money Market (Umpqua Bank)</t>
  </si>
  <si>
    <t>1072 Bill.com Money Out Clearing</t>
  </si>
  <si>
    <t>RESERVES (UBS)</t>
  </si>
  <si>
    <t>Total Bank Accounts</t>
  </si>
  <si>
    <t>Total Accounts Receivable</t>
  </si>
  <si>
    <t>1155 Projects in Progress</t>
  </si>
  <si>
    <t>Total Other Current Assets</t>
  </si>
  <si>
    <t>1719 Accumulated Amortization</t>
  </si>
  <si>
    <t>Total 1700 Fixed Asset</t>
  </si>
  <si>
    <t>Total Fixed Assets</t>
  </si>
  <si>
    <t>TOTAL ASSETS</t>
  </si>
  <si>
    <t>Total Accounts Payable</t>
  </si>
  <si>
    <t>Total Current Liabilities</t>
  </si>
  <si>
    <t>Total Liabilities</t>
  </si>
  <si>
    <t>3900 Retained Earnings</t>
  </si>
  <si>
    <t>3910 HB Munn Fund</t>
  </si>
  <si>
    <t>Total Equity</t>
  </si>
  <si>
    <t>TOTAL LIABILITIES AND EQUITY</t>
  </si>
  <si>
    <r>
      <rPr>
        <sz val="9"/>
        <rFont val="Arial"/>
        <family val="2"/>
      </rPr>
      <t>Current Assets
Bank Accounts</t>
    </r>
  </si>
  <si>
    <r>
      <rPr>
        <sz val="9"/>
        <rFont val="Arial"/>
        <family val="2"/>
      </rPr>
      <t>Accounts Receivable
1100 Accounts Receivable</t>
    </r>
  </si>
  <si>
    <r>
      <rPr>
        <sz val="9"/>
        <rFont val="Arial"/>
        <family val="2"/>
      </rPr>
      <t>Other Current Assets
1150 Prepaid Expenses-General</t>
    </r>
  </si>
  <si>
    <r>
      <rPr>
        <sz val="9"/>
        <rFont val="Arial"/>
        <family val="2"/>
      </rPr>
      <t>Fixed Assets 1700 Fixed Asset
1710 Website Redesign</t>
    </r>
  </si>
  <si>
    <r>
      <rPr>
        <sz val="9"/>
        <rFont val="Arial"/>
        <family val="2"/>
      </rPr>
      <t>LIABILITIES AND EQUITY
Liabilities
Current Liabilities Accounts Payable
2000 Accounts Payable</t>
    </r>
  </si>
  <si>
    <r>
      <rPr>
        <sz val="9"/>
        <rFont val="Arial"/>
        <family val="2"/>
      </rPr>
      <t>Equity
3000 Opening Bal Equity</t>
    </r>
  </si>
  <si>
    <t>%</t>
  </si>
  <si>
    <t>1006 CVMVCD (Liquid Savings)</t>
  </si>
  <si>
    <t>*Changed Tech/Sudents/CDPH to daily or full</t>
  </si>
  <si>
    <t>given the fluctuation in food costs</t>
  </si>
  <si>
    <t>Minimal (ticket never included banquet)</t>
  </si>
  <si>
    <t>Both Days Tech/Student/CDPH (no banquet)</t>
  </si>
  <si>
    <t>Tuesday only Tech/Students/CDPH (No banquet)</t>
  </si>
  <si>
    <t>Technician/Student/CDPH:</t>
  </si>
  <si>
    <t>Digital Infrastructure Moderization - Maximum budget dependent on further board approval. More detail on proposed project included in separate document.</t>
  </si>
  <si>
    <t>Any capital assets (like a new website) would be depreciated 3-5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</si>
</sst>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0.00\ %"/>
    <numFmt numFmtId="167" formatCode="\$#,##0.00"/>
    <numFmt numFmtId="168" formatCode="\$0.00"/>
    <numFmt numFmtId="169" formatCode="\$\ #,##0.00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trike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C0C0C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24">
    <xf numFmtId="0" fontId="0" fillId="0" borderId="0" xfId="0"/>
    <xf numFmtId="49" fontId="1" fillId="0" borderId="0" xfId="0" applyNumberFormat="1" applyFont="1"/>
    <xf numFmtId="0" fontId="1" fillId="0" borderId="0" xfId="0" applyFont="1"/>
    <xf numFmtId="164" fontId="2" fillId="2" borderId="2" xfId="0" applyNumberFormat="1" applyFont="1" applyFill="1" applyBorder="1"/>
    <xf numFmtId="164" fontId="2" fillId="2" borderId="0" xfId="0" applyNumberFormat="1" applyFont="1" applyFill="1"/>
    <xf numFmtId="164" fontId="2" fillId="2" borderId="4" xfId="0" applyNumberFormat="1" applyFont="1" applyFill="1" applyBorder="1"/>
    <xf numFmtId="164" fontId="2" fillId="2" borderId="3" xfId="0" applyNumberFormat="1" applyFont="1" applyFill="1" applyBorder="1"/>
    <xf numFmtId="164" fontId="2" fillId="2" borderId="9" xfId="0" applyNumberFormat="1" applyFont="1" applyFill="1" applyBorder="1"/>
    <xf numFmtId="164" fontId="2" fillId="2" borderId="11" xfId="0" applyNumberFormat="1" applyFont="1" applyFill="1" applyBorder="1"/>
    <xf numFmtId="164" fontId="2" fillId="2" borderId="13" xfId="0" applyNumberFormat="1" applyFont="1" applyFill="1" applyBorder="1"/>
    <xf numFmtId="164" fontId="2" fillId="2" borderId="15" xfId="0" applyNumberFormat="1" applyFont="1" applyFill="1" applyBorder="1"/>
    <xf numFmtId="164" fontId="2" fillId="2" borderId="19" xfId="0" applyNumberFormat="1" applyFont="1" applyFill="1" applyBorder="1"/>
    <xf numFmtId="164" fontId="2" fillId="2" borderId="21" xfId="0" applyNumberFormat="1" applyFont="1" applyFill="1" applyBorder="1"/>
    <xf numFmtId="164" fontId="1" fillId="2" borderId="20" xfId="0" applyNumberFormat="1" applyFont="1" applyFill="1" applyBorder="1"/>
    <xf numFmtId="43" fontId="0" fillId="0" borderId="0" xfId="0" applyNumberFormat="1"/>
    <xf numFmtId="2" fontId="0" fillId="0" borderId="0" xfId="0" applyNumberFormat="1"/>
    <xf numFmtId="0" fontId="5" fillId="0" borderId="0" xfId="0" applyFont="1"/>
    <xf numFmtId="43" fontId="5" fillId="0" borderId="0" xfId="0" applyNumberFormat="1" applyFont="1"/>
    <xf numFmtId="4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2" fontId="7" fillId="3" borderId="17" xfId="0" applyNumberFormat="1" applyFont="1" applyFill="1" applyBorder="1"/>
    <xf numFmtId="164" fontId="2" fillId="4" borderId="0" xfId="0" applyNumberFormat="1" applyFont="1" applyFill="1"/>
    <xf numFmtId="165" fontId="2" fillId="4" borderId="0" xfId="0" applyNumberFormat="1" applyFont="1" applyFill="1"/>
    <xf numFmtId="165" fontId="2" fillId="4" borderId="2" xfId="0" applyNumberFormat="1" applyFont="1" applyFill="1" applyBorder="1"/>
    <xf numFmtId="165" fontId="2" fillId="4" borderId="3" xfId="0" applyNumberFormat="1" applyFont="1" applyFill="1" applyBorder="1"/>
    <xf numFmtId="165" fontId="2" fillId="4" borderId="4" xfId="0" applyNumberFormat="1" applyFont="1" applyFill="1" applyBorder="1"/>
    <xf numFmtId="0" fontId="0" fillId="4" borderId="0" xfId="0" applyFill="1"/>
    <xf numFmtId="164" fontId="1" fillId="4" borderId="20" xfId="0" applyNumberFormat="1" applyFont="1" applyFill="1" applyBorder="1"/>
    <xf numFmtId="43" fontId="7" fillId="5" borderId="9" xfId="0" applyNumberFormat="1" applyFont="1" applyFill="1" applyBorder="1"/>
    <xf numFmtId="164" fontId="7" fillId="5" borderId="0" xfId="0" applyNumberFormat="1" applyFont="1" applyFill="1"/>
    <xf numFmtId="2" fontId="7" fillId="3" borderId="9" xfId="0" applyNumberFormat="1" applyFont="1" applyFill="1" applyBorder="1"/>
    <xf numFmtId="49" fontId="9" fillId="4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43" fontId="6" fillId="5" borderId="15" xfId="0" applyNumberFormat="1" applyFont="1" applyFill="1" applyBorder="1" applyAlignment="1">
      <alignment horizontal="center" wrapText="1"/>
    </xf>
    <xf numFmtId="49" fontId="6" fillId="5" borderId="3" xfId="0" applyNumberFormat="1" applyFont="1" applyFill="1" applyBorder="1" applyAlignment="1">
      <alignment horizontal="center" wrapText="1"/>
    </xf>
    <xf numFmtId="2" fontId="6" fillId="3" borderId="5" xfId="0" applyNumberFormat="1" applyFont="1" applyFill="1" applyBorder="1" applyAlignment="1">
      <alignment horizontal="center" wrapText="1"/>
    </xf>
    <xf numFmtId="2" fontId="6" fillId="3" borderId="1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6" fillId="6" borderId="16" xfId="0" applyNumberFormat="1" applyFont="1" applyFill="1" applyBorder="1" applyAlignment="1">
      <alignment horizontal="center" wrapText="1"/>
    </xf>
    <xf numFmtId="2" fontId="6" fillId="6" borderId="5" xfId="0" applyNumberFormat="1" applyFont="1" applyFill="1" applyBorder="1" applyAlignment="1">
      <alignment horizontal="center" wrapText="1"/>
    </xf>
    <xf numFmtId="2" fontId="6" fillId="6" borderId="15" xfId="0" applyNumberFormat="1" applyFont="1" applyFill="1" applyBorder="1" applyAlignment="1">
      <alignment horizontal="center" wrapText="1"/>
    </xf>
    <xf numFmtId="2" fontId="7" fillId="6" borderId="10" xfId="0" applyNumberFormat="1" applyFont="1" applyFill="1" applyBorder="1"/>
    <xf numFmtId="2" fontId="7" fillId="6" borderId="17" xfId="0" applyNumberFormat="1" applyFont="1" applyFill="1" applyBorder="1"/>
    <xf numFmtId="2" fontId="7" fillId="6" borderId="9" xfId="0" applyNumberFormat="1" applyFont="1" applyFill="1" applyBorder="1"/>
    <xf numFmtId="2" fontId="6" fillId="7" borderId="16" xfId="0" applyNumberFormat="1" applyFont="1" applyFill="1" applyBorder="1" applyAlignment="1">
      <alignment horizontal="center"/>
    </xf>
    <xf numFmtId="2" fontId="6" fillId="7" borderId="15" xfId="0" applyNumberFormat="1" applyFont="1" applyFill="1" applyBorder="1" applyAlignment="1">
      <alignment horizontal="center"/>
    </xf>
    <xf numFmtId="2" fontId="6" fillId="7" borderId="5" xfId="0" applyNumberFormat="1" applyFont="1" applyFill="1" applyBorder="1" applyAlignment="1">
      <alignment horizontal="center"/>
    </xf>
    <xf numFmtId="2" fontId="7" fillId="3" borderId="27" xfId="0" applyNumberFormat="1" applyFont="1" applyFill="1" applyBorder="1"/>
    <xf numFmtId="0" fontId="0" fillId="4" borderId="5" xfId="0" applyFill="1" applyBorder="1" applyAlignment="1">
      <alignment horizontal="center" wrapText="1"/>
    </xf>
    <xf numFmtId="0" fontId="4" fillId="4" borderId="27" xfId="0" applyFont="1" applyFill="1" applyBorder="1"/>
    <xf numFmtId="0" fontId="3" fillId="4" borderId="5" xfId="0" applyFont="1" applyFill="1" applyBorder="1" applyAlignment="1">
      <alignment horizontal="center" vertical="center" wrapText="1"/>
    </xf>
    <xf numFmtId="43" fontId="6" fillId="5" borderId="16" xfId="1" applyNumberFormat="1" applyFont="1" applyFill="1" applyBorder="1" applyAlignment="1">
      <alignment horizontal="center" wrapText="1"/>
    </xf>
    <xf numFmtId="43" fontId="7" fillId="5" borderId="10" xfId="1" applyNumberFormat="1" applyFont="1" applyFill="1" applyBorder="1"/>
    <xf numFmtId="43" fontId="8" fillId="0" borderId="0" xfId="1" applyNumberFormat="1" applyFont="1"/>
    <xf numFmtId="43" fontId="5" fillId="0" borderId="0" xfId="1" applyNumberFormat="1" applyFont="1"/>
    <xf numFmtId="43" fontId="0" fillId="0" borderId="0" xfId="1" applyNumberFormat="1" applyFont="1"/>
    <xf numFmtId="40" fontId="6" fillId="5" borderId="20" xfId="0" applyNumberFormat="1" applyFont="1" applyFill="1" applyBorder="1"/>
    <xf numFmtId="40" fontId="6" fillId="5" borderId="20" xfId="1" applyNumberFormat="1" applyFont="1" applyFill="1" applyBorder="1"/>
    <xf numFmtId="40" fontId="6" fillId="6" borderId="20" xfId="0" applyNumberFormat="1" applyFont="1" applyFill="1" applyBorder="1"/>
    <xf numFmtId="40" fontId="6" fillId="3" borderId="20" xfId="0" applyNumberFormat="1" applyFont="1" applyFill="1" applyBorder="1"/>
    <xf numFmtId="40" fontId="6" fillId="3" borderId="24" xfId="0" applyNumberFormat="1" applyFont="1" applyFill="1" applyBorder="1"/>
    <xf numFmtId="40" fontId="6" fillId="3" borderId="29" xfId="0" applyNumberFormat="1" applyFont="1" applyFill="1" applyBorder="1"/>
    <xf numFmtId="40" fontId="6" fillId="4" borderId="32" xfId="0" applyNumberFormat="1" applyFont="1" applyFill="1" applyBorder="1"/>
    <xf numFmtId="40" fontId="7" fillId="5" borderId="9" xfId="0" applyNumberFormat="1" applyFont="1" applyFill="1" applyBorder="1"/>
    <xf numFmtId="40" fontId="7" fillId="5" borderId="0" xfId="0" applyNumberFormat="1" applyFont="1" applyFill="1"/>
    <xf numFmtId="40" fontId="7" fillId="5" borderId="10" xfId="1" applyNumberFormat="1" applyFont="1" applyFill="1" applyBorder="1"/>
    <xf numFmtId="40" fontId="7" fillId="6" borderId="10" xfId="0" applyNumberFormat="1" applyFont="1" applyFill="1" applyBorder="1"/>
    <xf numFmtId="40" fontId="7" fillId="6" borderId="17" xfId="0" applyNumberFormat="1" applyFont="1" applyFill="1" applyBorder="1"/>
    <xf numFmtId="40" fontId="7" fillId="6" borderId="9" xfId="0" applyNumberFormat="1" applyFont="1" applyFill="1" applyBorder="1"/>
    <xf numFmtId="40" fontId="7" fillId="3" borderId="9" xfId="0" applyNumberFormat="1" applyFont="1" applyFill="1" applyBorder="1"/>
    <xf numFmtId="40" fontId="7" fillId="3" borderId="17" xfId="0" applyNumberFormat="1" applyFont="1" applyFill="1" applyBorder="1"/>
    <xf numFmtId="40" fontId="4" fillId="4" borderId="17" xfId="0" applyNumberFormat="1" applyFont="1" applyFill="1" applyBorder="1"/>
    <xf numFmtId="40" fontId="7" fillId="4" borderId="17" xfId="0" applyNumberFormat="1" applyFont="1" applyFill="1" applyBorder="1"/>
    <xf numFmtId="40" fontId="7" fillId="5" borderId="11" xfId="0" applyNumberFormat="1" applyFont="1" applyFill="1" applyBorder="1"/>
    <xf numFmtId="40" fontId="7" fillId="5" borderId="2" xfId="0" applyNumberFormat="1" applyFont="1" applyFill="1" applyBorder="1"/>
    <xf numFmtId="40" fontId="7" fillId="5" borderId="12" xfId="1" applyNumberFormat="1" applyFont="1" applyFill="1" applyBorder="1"/>
    <xf numFmtId="40" fontId="7" fillId="6" borderId="12" xfId="0" applyNumberFormat="1" applyFont="1" applyFill="1" applyBorder="1"/>
    <xf numFmtId="40" fontId="7" fillId="6" borderId="18" xfId="0" applyNumberFormat="1" applyFont="1" applyFill="1" applyBorder="1"/>
    <xf numFmtId="40" fontId="7" fillId="6" borderId="11" xfId="0" applyNumberFormat="1" applyFont="1" applyFill="1" applyBorder="1"/>
    <xf numFmtId="40" fontId="7" fillId="3" borderId="11" xfId="0" applyNumberFormat="1" applyFont="1" applyFill="1" applyBorder="1"/>
    <xf numFmtId="40" fontId="7" fillId="3" borderId="18" xfId="0" applyNumberFormat="1" applyFont="1" applyFill="1" applyBorder="1"/>
    <xf numFmtId="40" fontId="7" fillId="4" borderId="18" xfId="0" applyNumberFormat="1" applyFont="1" applyFill="1" applyBorder="1"/>
    <xf numFmtId="40" fontId="7" fillId="3" borderId="27" xfId="0" applyNumberFormat="1" applyFont="1" applyFill="1" applyBorder="1"/>
    <xf numFmtId="40" fontId="7" fillId="5" borderId="13" xfId="0" applyNumberFormat="1" applyFont="1" applyFill="1" applyBorder="1"/>
    <xf numFmtId="40" fontId="7" fillId="5" borderId="4" xfId="0" applyNumberFormat="1" applyFont="1" applyFill="1" applyBorder="1"/>
    <xf numFmtId="40" fontId="7" fillId="5" borderId="14" xfId="1" applyNumberFormat="1" applyFont="1" applyFill="1" applyBorder="1"/>
    <xf numFmtId="40" fontId="7" fillId="6" borderId="27" xfId="0" applyNumberFormat="1" applyFont="1" applyFill="1" applyBorder="1"/>
    <xf numFmtId="40" fontId="7" fillId="4" borderId="27" xfId="0" applyNumberFormat="1" applyFont="1" applyFill="1" applyBorder="1"/>
    <xf numFmtId="40" fontId="7" fillId="5" borderId="26" xfId="0" applyNumberFormat="1" applyFont="1" applyFill="1" applyBorder="1"/>
    <xf numFmtId="40" fontId="7" fillId="5" borderId="22" xfId="0" applyNumberFormat="1" applyFont="1" applyFill="1" applyBorder="1"/>
    <xf numFmtId="40" fontId="7" fillId="5" borderId="23" xfId="1" applyNumberFormat="1" applyFont="1" applyFill="1" applyBorder="1"/>
    <xf numFmtId="40" fontId="7" fillId="6" borderId="25" xfId="0" applyNumberFormat="1" applyFont="1" applyFill="1" applyBorder="1"/>
    <xf numFmtId="40" fontId="7" fillId="3" borderId="25" xfId="0" applyNumberFormat="1" applyFont="1" applyFill="1" applyBorder="1"/>
    <xf numFmtId="40" fontId="7" fillId="4" borderId="25" xfId="0" applyNumberFormat="1" applyFont="1" applyFill="1" applyBorder="1"/>
    <xf numFmtId="40" fontId="6" fillId="5" borderId="9" xfId="0" applyNumberFormat="1" applyFont="1" applyFill="1" applyBorder="1"/>
    <xf numFmtId="40" fontId="5" fillId="5" borderId="9" xfId="0" applyNumberFormat="1" applyFont="1" applyFill="1" applyBorder="1"/>
    <xf numFmtId="40" fontId="7" fillId="6" borderId="0" xfId="0" applyNumberFormat="1" applyFont="1" applyFill="1"/>
    <xf numFmtId="40" fontId="7" fillId="3" borderId="4" xfId="0" applyNumberFormat="1" applyFont="1" applyFill="1" applyBorder="1"/>
    <xf numFmtId="40" fontId="7" fillId="3" borderId="0" xfId="0" applyNumberFormat="1" applyFont="1" applyFill="1"/>
    <xf numFmtId="40" fontId="7" fillId="5" borderId="34" xfId="0" applyNumberFormat="1" applyFont="1" applyFill="1" applyBorder="1"/>
    <xf numFmtId="40" fontId="7" fillId="5" borderId="35" xfId="0" applyNumberFormat="1" applyFont="1" applyFill="1" applyBorder="1"/>
    <xf numFmtId="40" fontId="7" fillId="5" borderId="36" xfId="1" applyNumberFormat="1" applyFont="1" applyFill="1" applyBorder="1"/>
    <xf numFmtId="40" fontId="7" fillId="6" borderId="33" xfId="0" applyNumberFormat="1" applyFont="1" applyFill="1" applyBorder="1"/>
    <xf numFmtId="40" fontId="7" fillId="6" borderId="35" xfId="0" applyNumberFormat="1" applyFont="1" applyFill="1" applyBorder="1"/>
    <xf numFmtId="40" fontId="7" fillId="3" borderId="35" xfId="0" applyNumberFormat="1" applyFont="1" applyFill="1" applyBorder="1"/>
    <xf numFmtId="40" fontId="7" fillId="3" borderId="33" xfId="0" applyNumberFormat="1" applyFont="1" applyFill="1" applyBorder="1"/>
    <xf numFmtId="40" fontId="7" fillId="4" borderId="33" xfId="0" applyNumberFormat="1" applyFont="1" applyFill="1" applyBorder="1"/>
    <xf numFmtId="40" fontId="0" fillId="3" borderId="0" xfId="0" applyNumberFormat="1" applyFill="1"/>
    <xf numFmtId="40" fontId="7" fillId="6" borderId="2" xfId="0" applyNumberFormat="1" applyFont="1" applyFill="1" applyBorder="1"/>
    <xf numFmtId="40" fontId="7" fillId="3" borderId="2" xfId="0" applyNumberFormat="1" applyFont="1" applyFill="1" applyBorder="1"/>
    <xf numFmtId="40" fontId="7" fillId="5" borderId="15" xfId="0" applyNumberFormat="1" applyFont="1" applyFill="1" applyBorder="1"/>
    <xf numFmtId="40" fontId="7" fillId="5" borderId="3" xfId="0" applyNumberFormat="1" applyFont="1" applyFill="1" applyBorder="1"/>
    <xf numFmtId="40" fontId="7" fillId="5" borderId="16" xfId="1" applyNumberFormat="1" applyFont="1" applyFill="1" applyBorder="1"/>
    <xf numFmtId="40" fontId="7" fillId="6" borderId="16" xfId="0" applyNumberFormat="1" applyFont="1" applyFill="1" applyBorder="1"/>
    <xf numFmtId="40" fontId="7" fillId="6" borderId="5" xfId="0" applyNumberFormat="1" applyFont="1" applyFill="1" applyBorder="1"/>
    <xf numFmtId="40" fontId="7" fillId="6" borderId="15" xfId="0" applyNumberFormat="1" applyFont="1" applyFill="1" applyBorder="1"/>
    <xf numFmtId="40" fontId="7" fillId="3" borderId="15" xfId="0" applyNumberFormat="1" applyFont="1" applyFill="1" applyBorder="1"/>
    <xf numFmtId="40" fontId="7" fillId="3" borderId="5" xfId="0" applyNumberFormat="1" applyFont="1" applyFill="1" applyBorder="1"/>
    <xf numFmtId="40" fontId="7" fillId="4" borderId="5" xfId="0" applyNumberFormat="1" applyFont="1" applyFill="1" applyBorder="1"/>
    <xf numFmtId="40" fontId="0" fillId="3" borderId="18" xfId="0" applyNumberFormat="1" applyFill="1" applyBorder="1"/>
    <xf numFmtId="40" fontId="7" fillId="6" borderId="4" xfId="0" applyNumberFormat="1" applyFont="1" applyFill="1" applyBorder="1"/>
    <xf numFmtId="40" fontId="7" fillId="5" borderId="22" xfId="1" applyNumberFormat="1" applyFont="1" applyFill="1" applyBorder="1"/>
    <xf numFmtId="40" fontId="7" fillId="6" borderId="22" xfId="0" applyNumberFormat="1" applyFont="1" applyFill="1" applyBorder="1"/>
    <xf numFmtId="40" fontId="7" fillId="3" borderId="22" xfId="0" applyNumberFormat="1" applyFont="1" applyFill="1" applyBorder="1"/>
    <xf numFmtId="40" fontId="7" fillId="3" borderId="23" xfId="0" applyNumberFormat="1" applyFont="1" applyFill="1" applyBorder="1"/>
    <xf numFmtId="40" fontId="7" fillId="3" borderId="28" xfId="0" applyNumberFormat="1" applyFont="1" applyFill="1" applyBorder="1"/>
    <xf numFmtId="40" fontId="7" fillId="4" borderId="31" xfId="0" applyNumberFormat="1" applyFont="1" applyFill="1" applyBorder="1"/>
    <xf numFmtId="40" fontId="7" fillId="5" borderId="0" xfId="1" applyNumberFormat="1" applyFont="1" applyFill="1"/>
    <xf numFmtId="40" fontId="7" fillId="3" borderId="26" xfId="0" applyNumberFormat="1" applyFont="1" applyFill="1" applyBorder="1"/>
    <xf numFmtId="40" fontId="4" fillId="4" borderId="30" xfId="0" applyNumberFormat="1" applyFont="1" applyFill="1" applyBorder="1"/>
    <xf numFmtId="49" fontId="1" fillId="8" borderId="0" xfId="0" applyNumberFormat="1" applyFont="1" applyFill="1"/>
    <xf numFmtId="0" fontId="11" fillId="0" borderId="0" xfId="0" applyFont="1"/>
    <xf numFmtId="49" fontId="6" fillId="0" borderId="0" xfId="0" applyNumberFormat="1" applyFont="1"/>
    <xf numFmtId="0" fontId="8" fillId="4" borderId="5" xfId="0" applyFont="1" applyFill="1" applyBorder="1" applyAlignment="1">
      <alignment horizontal="center" wrapText="1"/>
    </xf>
    <xf numFmtId="0" fontId="5" fillId="8" borderId="30" xfId="0" applyFont="1" applyFill="1" applyBorder="1"/>
    <xf numFmtId="49" fontId="6" fillId="0" borderId="0" xfId="0" applyNumberFormat="1" applyFont="1" applyAlignment="1">
      <alignment horizontal="center" wrapText="1"/>
    </xf>
    <xf numFmtId="49" fontId="6" fillId="2" borderId="15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16" xfId="0" applyNumberFormat="1" applyFont="1" applyFill="1" applyBorder="1" applyAlignment="1">
      <alignment horizontal="center" wrapText="1"/>
    </xf>
    <xf numFmtId="43" fontId="6" fillId="5" borderId="15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16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1" fillId="8" borderId="30" xfId="0" applyFont="1" applyFill="1" applyBorder="1" applyAlignment="1">
      <alignment wrapText="1"/>
    </xf>
    <xf numFmtId="0" fontId="5" fillId="8" borderId="3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9" fontId="6" fillId="7" borderId="16" xfId="0" applyNumberFormat="1" applyFont="1" applyFill="1" applyBorder="1" applyAlignment="1">
      <alignment horizontal="center"/>
    </xf>
    <xf numFmtId="49" fontId="6" fillId="7" borderId="15" xfId="0" applyNumberFormat="1" applyFont="1" applyFill="1" applyBorder="1" applyAlignment="1">
      <alignment horizontal="center"/>
    </xf>
    <xf numFmtId="49" fontId="6" fillId="7" borderId="18" xfId="0" applyNumberFormat="1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5" fillId="4" borderId="5" xfId="0" applyFont="1" applyFill="1" applyBorder="1"/>
    <xf numFmtId="0" fontId="8" fillId="0" borderId="0" xfId="0" applyFont="1"/>
    <xf numFmtId="0" fontId="5" fillId="2" borderId="13" xfId="0" applyFont="1" applyFill="1" applyBorder="1"/>
    <xf numFmtId="0" fontId="5" fillId="2" borderId="4" xfId="0" applyFont="1" applyFill="1" applyBorder="1"/>
    <xf numFmtId="0" fontId="5" fillId="2" borderId="14" xfId="0" applyFont="1" applyFill="1" applyBorder="1"/>
    <xf numFmtId="43" fontId="5" fillId="5" borderId="9" xfId="0" applyNumberFormat="1" applyFont="1" applyFill="1" applyBorder="1"/>
    <xf numFmtId="0" fontId="5" fillId="5" borderId="0" xfId="0" applyFont="1" applyFill="1"/>
    <xf numFmtId="0" fontId="5" fillId="7" borderId="27" xfId="0" applyFont="1" applyFill="1" applyBorder="1"/>
    <xf numFmtId="0" fontId="5" fillId="7" borderId="0" xfId="0" applyFont="1" applyFill="1"/>
    <xf numFmtId="0" fontId="5" fillId="3" borderId="27" xfId="0" applyFont="1" applyFill="1" applyBorder="1"/>
    <xf numFmtId="0" fontId="5" fillId="4" borderId="27" xfId="0" applyFont="1" applyFill="1" applyBorder="1"/>
    <xf numFmtId="0" fontId="11" fillId="8" borderId="30" xfId="0" applyFont="1" applyFill="1" applyBorder="1"/>
    <xf numFmtId="0" fontId="5" fillId="8" borderId="30" xfId="0" applyFont="1" applyFill="1" applyBorder="1" applyAlignment="1">
      <alignment horizontal="left"/>
    </xf>
    <xf numFmtId="43" fontId="7" fillId="2" borderId="9" xfId="0" applyNumberFormat="1" applyFont="1" applyFill="1" applyBorder="1"/>
    <xf numFmtId="43" fontId="7" fillId="2" borderId="0" xfId="0" applyNumberFormat="1" applyFont="1" applyFill="1"/>
    <xf numFmtId="43" fontId="7" fillId="2" borderId="10" xfId="0" applyNumberFormat="1" applyFont="1" applyFill="1" applyBorder="1"/>
    <xf numFmtId="43" fontId="7" fillId="5" borderId="0" xfId="0" applyNumberFormat="1" applyFont="1" applyFill="1"/>
    <xf numFmtId="43" fontId="7" fillId="7" borderId="17" xfId="0" applyNumberFormat="1" applyFont="1" applyFill="1" applyBorder="1"/>
    <xf numFmtId="43" fontId="7" fillId="7" borderId="0" xfId="0" applyNumberFormat="1" applyFont="1" applyFill="1"/>
    <xf numFmtId="8" fontId="7" fillId="3" borderId="17" xfId="0" applyNumberFormat="1" applyFont="1" applyFill="1" applyBorder="1"/>
    <xf numFmtId="8" fontId="5" fillId="3" borderId="17" xfId="0" applyNumberFormat="1" applyFont="1" applyFill="1" applyBorder="1"/>
    <xf numFmtId="8" fontId="5" fillId="4" borderId="17" xfId="0" applyNumberFormat="1" applyFont="1" applyFill="1" applyBorder="1"/>
    <xf numFmtId="43" fontId="7" fillId="2" borderId="11" xfId="0" applyNumberFormat="1" applyFont="1" applyFill="1" applyBorder="1"/>
    <xf numFmtId="43" fontId="7" fillId="2" borderId="2" xfId="0" applyNumberFormat="1" applyFont="1" applyFill="1" applyBorder="1"/>
    <xf numFmtId="43" fontId="7" fillId="2" borderId="12" xfId="0" applyNumberFormat="1" applyFont="1" applyFill="1" applyBorder="1"/>
    <xf numFmtId="43" fontId="7" fillId="7" borderId="18" xfId="0" applyNumberFormat="1" applyFont="1" applyFill="1" applyBorder="1"/>
    <xf numFmtId="43" fontId="7" fillId="7" borderId="2" xfId="0" applyNumberFormat="1" applyFont="1" applyFill="1" applyBorder="1"/>
    <xf numFmtId="8" fontId="7" fillId="3" borderId="18" xfId="0" applyNumberFormat="1" applyFont="1" applyFill="1" applyBorder="1"/>
    <xf numFmtId="8" fontId="5" fillId="3" borderId="18" xfId="0" applyNumberFormat="1" applyFont="1" applyFill="1" applyBorder="1"/>
    <xf numFmtId="8" fontId="5" fillId="4" borderId="18" xfId="0" applyNumberFormat="1" applyFont="1" applyFill="1" applyBorder="1"/>
    <xf numFmtId="43" fontId="7" fillId="5" borderId="15" xfId="0" applyNumberFormat="1" applyFont="1" applyFill="1" applyBorder="1"/>
    <xf numFmtId="43" fontId="7" fillId="5" borderId="3" xfId="0" applyNumberFormat="1" applyFont="1" applyFill="1" applyBorder="1"/>
    <xf numFmtId="43" fontId="7" fillId="5" borderId="16" xfId="0" applyNumberFormat="1" applyFont="1" applyFill="1" applyBorder="1"/>
    <xf numFmtId="43" fontId="7" fillId="7" borderId="5" xfId="0" applyNumberFormat="1" applyFont="1" applyFill="1" applyBorder="1"/>
    <xf numFmtId="43" fontId="7" fillId="7" borderId="15" xfId="0" applyNumberFormat="1" applyFont="1" applyFill="1" applyBorder="1"/>
    <xf numFmtId="8" fontId="7" fillId="3" borderId="5" xfId="0" applyNumberFormat="1" applyFont="1" applyFill="1" applyBorder="1"/>
    <xf numFmtId="8" fontId="5" fillId="3" borderId="5" xfId="0" applyNumberFormat="1" applyFont="1" applyFill="1" applyBorder="1"/>
    <xf numFmtId="8" fontId="5" fillId="4" borderId="5" xfId="0" applyNumberFormat="1" applyFont="1" applyFill="1" applyBorder="1"/>
    <xf numFmtId="43" fontId="5" fillId="0" borderId="9" xfId="0" applyNumberFormat="1" applyFont="1" applyBorder="1"/>
    <xf numFmtId="43" fontId="5" fillId="0" borderId="10" xfId="0" applyNumberFormat="1" applyFont="1" applyBorder="1"/>
    <xf numFmtId="43" fontId="5" fillId="5" borderId="0" xfId="0" applyNumberFormat="1" applyFont="1" applyFill="1"/>
    <xf numFmtId="43" fontId="5" fillId="7" borderId="27" xfId="0" applyNumberFormat="1" applyFont="1" applyFill="1" applyBorder="1"/>
    <xf numFmtId="8" fontId="5" fillId="3" borderId="27" xfId="0" applyNumberFormat="1" applyFont="1" applyFill="1" applyBorder="1"/>
    <xf numFmtId="8" fontId="5" fillId="4" borderId="27" xfId="0" applyNumberFormat="1" applyFont="1" applyFill="1" applyBorder="1"/>
    <xf numFmtId="0" fontId="5" fillId="8" borderId="0" xfId="0" applyFont="1" applyFill="1" applyAlignment="1">
      <alignment wrapText="1"/>
    </xf>
    <xf numFmtId="49" fontId="13" fillId="0" borderId="0" xfId="0" applyNumberFormat="1" applyFont="1"/>
    <xf numFmtId="43" fontId="7" fillId="7" borderId="11" xfId="0" applyNumberFormat="1" applyFont="1" applyFill="1" applyBorder="1"/>
    <xf numFmtId="8" fontId="5" fillId="3" borderId="15" xfId="0" applyNumberFormat="1" applyFont="1" applyFill="1" applyBorder="1"/>
    <xf numFmtId="43" fontId="5" fillId="5" borderId="15" xfId="0" applyNumberFormat="1" applyFont="1" applyFill="1" applyBorder="1"/>
    <xf numFmtId="43" fontId="5" fillId="5" borderId="3" xfId="0" applyNumberFormat="1" applyFont="1" applyFill="1" applyBorder="1"/>
    <xf numFmtId="43" fontId="5" fillId="5" borderId="16" xfId="0" applyNumberFormat="1" applyFont="1" applyFill="1" applyBorder="1"/>
    <xf numFmtId="43" fontId="5" fillId="7" borderId="16" xfId="0" applyNumberFormat="1" applyFont="1" applyFill="1" applyBorder="1"/>
    <xf numFmtId="8" fontId="5" fillId="3" borderId="16" xfId="0" applyNumberFormat="1" applyFont="1" applyFill="1" applyBorder="1"/>
    <xf numFmtId="43" fontId="7" fillId="2" borderId="13" xfId="0" applyNumberFormat="1" applyFont="1" applyFill="1" applyBorder="1"/>
    <xf numFmtId="43" fontId="7" fillId="2" borderId="4" xfId="0" applyNumberFormat="1" applyFont="1" applyFill="1" applyBorder="1"/>
    <xf numFmtId="43" fontId="7" fillId="2" borderId="14" xfId="0" applyNumberFormat="1" applyFont="1" applyFill="1" applyBorder="1"/>
    <xf numFmtId="43" fontId="7" fillId="5" borderId="10" xfId="0" applyNumberFormat="1" applyFont="1" applyFill="1" applyBorder="1"/>
    <xf numFmtId="43" fontId="7" fillId="7" borderId="10" xfId="0" applyNumberFormat="1" applyFont="1" applyFill="1" applyBorder="1"/>
    <xf numFmtId="43" fontId="7" fillId="7" borderId="9" xfId="0" applyNumberFormat="1" applyFont="1" applyFill="1" applyBorder="1"/>
    <xf numFmtId="8" fontId="7" fillId="3" borderId="9" xfId="0" applyNumberFormat="1" applyFont="1" applyFill="1" applyBorder="1"/>
    <xf numFmtId="8" fontId="5" fillId="3" borderId="13" xfId="0" applyNumberFormat="1" applyFont="1" applyFill="1" applyBorder="1"/>
    <xf numFmtId="8" fontId="5" fillId="3" borderId="9" xfId="0" applyNumberFormat="1" applyFont="1" applyFill="1" applyBorder="1"/>
    <xf numFmtId="8" fontId="7" fillId="3" borderId="11" xfId="0" applyNumberFormat="1" applyFont="1" applyFill="1" applyBorder="1"/>
    <xf numFmtId="8" fontId="5" fillId="3" borderId="11" xfId="0" applyNumberFormat="1" applyFont="1" applyFill="1" applyBorder="1"/>
    <xf numFmtId="43" fontId="7" fillId="7" borderId="12" xfId="0" applyNumberFormat="1" applyFont="1" applyFill="1" applyBorder="1"/>
    <xf numFmtId="8" fontId="7" fillId="3" borderId="15" xfId="0" applyNumberFormat="1" applyFont="1" applyFill="1" applyBorder="1"/>
    <xf numFmtId="8" fontId="5" fillId="0" borderId="0" xfId="0" applyNumberFormat="1" applyFont="1"/>
    <xf numFmtId="43" fontId="8" fillId="0" borderId="0" xfId="0" applyNumberFormat="1" applyFont="1"/>
    <xf numFmtId="8" fontId="8" fillId="0" borderId="0" xfId="0" applyNumberFormat="1" applyFont="1"/>
    <xf numFmtId="43" fontId="11" fillId="0" borderId="0" xfId="0" applyNumberFormat="1" applyFont="1"/>
    <xf numFmtId="0" fontId="11" fillId="3" borderId="0" xfId="0" applyFont="1" applyFill="1"/>
    <xf numFmtId="8" fontId="5" fillId="8" borderId="5" xfId="0" applyNumberFormat="1" applyFont="1" applyFill="1" applyBorder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 indent="18"/>
    </xf>
    <xf numFmtId="0" fontId="12" fillId="0" borderId="0" xfId="0" applyFont="1"/>
    <xf numFmtId="8" fontId="15" fillId="0" borderId="0" xfId="0" applyNumberFormat="1" applyFont="1" applyAlignment="1">
      <alignment vertical="top" wrapText="1"/>
    </xf>
    <xf numFmtId="0" fontId="12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indent="1"/>
    </xf>
    <xf numFmtId="4" fontId="7" fillId="0" borderId="0" xfId="0" applyNumberFormat="1" applyFont="1" applyAlignment="1">
      <alignment vertical="top" shrinkToFit="1"/>
    </xf>
    <xf numFmtId="4" fontId="6" fillId="0" borderId="37" xfId="0" applyNumberFormat="1" applyFont="1" applyBorder="1" applyAlignment="1">
      <alignment vertical="top" shrinkToFit="1"/>
    </xf>
    <xf numFmtId="2" fontId="7" fillId="0" borderId="37" xfId="0" applyNumberFormat="1" applyFont="1" applyBorder="1" applyAlignment="1">
      <alignment vertical="center" shrinkToFit="1"/>
    </xf>
    <xf numFmtId="168" fontId="6" fillId="0" borderId="38" xfId="0" applyNumberFormat="1" applyFont="1" applyBorder="1" applyAlignment="1">
      <alignment vertical="top" shrinkToFit="1"/>
    </xf>
    <xf numFmtId="4" fontId="7" fillId="0" borderId="0" xfId="0" applyNumberFormat="1" applyFont="1" applyAlignment="1">
      <alignment vertical="center" shrinkToFit="1"/>
    </xf>
    <xf numFmtId="4" fontId="7" fillId="0" borderId="37" xfId="0" applyNumberFormat="1" applyFont="1" applyBorder="1" applyAlignment="1">
      <alignment vertical="top" shrinkToFit="1"/>
    </xf>
    <xf numFmtId="167" fontId="6" fillId="0" borderId="39" xfId="0" applyNumberFormat="1" applyFont="1" applyBorder="1" applyAlignment="1">
      <alignment vertical="top" shrinkToFit="1"/>
    </xf>
    <xf numFmtId="2" fontId="7" fillId="0" borderId="0" xfId="0" applyNumberFormat="1" applyFont="1" applyAlignment="1">
      <alignment shrinkToFit="1"/>
    </xf>
    <xf numFmtId="2" fontId="7" fillId="0" borderId="37" xfId="0" applyNumberFormat="1" applyFont="1" applyBorder="1" applyAlignment="1">
      <alignment vertical="top" shrinkToFit="1"/>
    </xf>
    <xf numFmtId="2" fontId="6" fillId="0" borderId="39" xfId="0" applyNumberFormat="1" applyFont="1" applyBorder="1" applyAlignment="1">
      <alignment vertical="top" shrinkToFit="1"/>
    </xf>
    <xf numFmtId="168" fontId="6" fillId="0" borderId="39" xfId="0" applyNumberFormat="1" applyFont="1" applyBorder="1" applyAlignment="1">
      <alignment vertical="top" shrinkToFit="1"/>
    </xf>
    <xf numFmtId="167" fontId="6" fillId="0" borderId="40" xfId="0" applyNumberFormat="1" applyFont="1" applyBorder="1" applyAlignment="1">
      <alignment vertical="top" shrinkToFit="1"/>
    </xf>
    <xf numFmtId="4" fontId="7" fillId="0" borderId="41" xfId="0" applyNumberFormat="1" applyFont="1" applyBorder="1" applyAlignment="1">
      <alignment shrinkToFit="1"/>
    </xf>
    <xf numFmtId="167" fontId="6" fillId="0" borderId="38" xfId="0" applyNumberFormat="1" applyFont="1" applyBorder="1" applyAlignment="1">
      <alignment vertical="top" shrinkToFit="1"/>
    </xf>
    <xf numFmtId="49" fontId="0" fillId="2" borderId="6" xfId="0" applyNumberFormat="1" applyFill="1" applyBorder="1" applyAlignment="1">
      <alignment horizontal="center" wrapText="1"/>
    </xf>
    <xf numFmtId="49" fontId="0" fillId="2" borderId="7" xfId="0" applyNumberFormat="1" applyFill="1" applyBorder="1" applyAlignment="1">
      <alignment horizontal="center" wrapText="1"/>
    </xf>
    <xf numFmtId="2" fontId="3" fillId="6" borderId="15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5" borderId="16" xfId="0" applyNumberFormat="1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5" fillId="0" borderId="39" xfId="0" applyFont="1" applyBorder="1" applyAlignment="1">
      <alignment horizontal="left" vertical="top" wrapText="1" indent="1"/>
    </xf>
    <xf numFmtId="167" fontId="6" fillId="0" borderId="39" xfId="0" applyNumberFormat="1" applyFont="1" applyBorder="1" applyAlignment="1">
      <alignment horizontal="right" vertical="top" shrinkToFit="1"/>
    </xf>
    <xf numFmtId="169" fontId="6" fillId="0" borderId="39" xfId="0" applyNumberFormat="1" applyFont="1" applyBorder="1" applyAlignment="1">
      <alignment horizontal="right" vertical="top" shrinkToFit="1"/>
    </xf>
    <xf numFmtId="166" fontId="6" fillId="0" borderId="39" xfId="0" applyNumberFormat="1" applyFont="1" applyBorder="1" applyAlignment="1">
      <alignment horizontal="right" vertical="top" shrinkToFit="1"/>
    </xf>
    <xf numFmtId="0" fontId="15" fillId="0" borderId="40" xfId="0" applyFont="1" applyBorder="1" applyAlignment="1">
      <alignment horizontal="left" vertical="top" wrapText="1"/>
    </xf>
    <xf numFmtId="167" fontId="6" fillId="0" borderId="40" xfId="0" applyNumberFormat="1" applyFont="1" applyBorder="1" applyAlignment="1">
      <alignment horizontal="right" vertical="top" shrinkToFit="1"/>
    </xf>
    <xf numFmtId="166" fontId="6" fillId="0" borderId="40" xfId="0" applyNumberFormat="1" applyFont="1" applyBorder="1" applyAlignment="1">
      <alignment horizontal="right" vertical="top" shrinkToFit="1"/>
    </xf>
    <xf numFmtId="0" fontId="14" fillId="0" borderId="0" xfId="0" applyFont="1" applyAlignment="1">
      <alignment horizontal="left" vertical="top" wrapText="1" indent="1"/>
    </xf>
    <xf numFmtId="4" fontId="7" fillId="0" borderId="0" xfId="0" applyNumberFormat="1" applyFont="1" applyAlignment="1">
      <alignment horizontal="right" vertical="top" shrinkToFit="1"/>
    </xf>
    <xf numFmtId="2" fontId="7" fillId="0" borderId="0" xfId="0" applyNumberFormat="1" applyFont="1" applyAlignment="1">
      <alignment horizontal="right" vertical="top" shrinkToFit="1"/>
    </xf>
    <xf numFmtId="166" fontId="7" fillId="0" borderId="0" xfId="0" applyNumberFormat="1" applyFont="1" applyAlignment="1">
      <alignment horizontal="right" vertical="top" shrinkToFit="1"/>
    </xf>
    <xf numFmtId="0" fontId="14" fillId="0" borderId="37" xfId="0" applyFont="1" applyBorder="1" applyAlignment="1">
      <alignment horizontal="left" vertical="top" wrapText="1" indent="1"/>
    </xf>
    <xf numFmtId="4" fontId="7" fillId="0" borderId="37" xfId="0" applyNumberFormat="1" applyFont="1" applyBorder="1" applyAlignment="1">
      <alignment horizontal="right" vertical="top" shrinkToFit="1"/>
    </xf>
    <xf numFmtId="166" fontId="7" fillId="0" borderId="37" xfId="0" applyNumberFormat="1" applyFont="1" applyBorder="1" applyAlignment="1">
      <alignment horizontal="right" vertical="top" shrinkToFit="1"/>
    </xf>
    <xf numFmtId="0" fontId="11" fillId="0" borderId="0" xfId="0" applyFont="1" applyAlignment="1">
      <alignment horizontal="left" vertical="top" wrapText="1" indent="1"/>
    </xf>
    <xf numFmtId="4" fontId="7" fillId="0" borderId="0" xfId="0" applyNumberFormat="1" applyFont="1" applyAlignment="1">
      <alignment horizontal="right" vertical="center" shrinkToFit="1"/>
    </xf>
    <xf numFmtId="2" fontId="7" fillId="0" borderId="0" xfId="0" applyNumberFormat="1" applyFont="1" applyAlignment="1">
      <alignment horizontal="right" vertical="center" shrinkToFit="1"/>
    </xf>
    <xf numFmtId="166" fontId="7" fillId="0" borderId="0" xfId="0" applyNumberFormat="1" applyFont="1" applyAlignment="1">
      <alignment horizontal="right" vertical="center" shrinkToFit="1"/>
    </xf>
    <xf numFmtId="0" fontId="15" fillId="0" borderId="38" xfId="0" applyFont="1" applyBorder="1" applyAlignment="1">
      <alignment horizontal="left" vertical="top" wrapText="1" indent="1"/>
    </xf>
    <xf numFmtId="167" fontId="6" fillId="0" borderId="38" xfId="0" applyNumberFormat="1" applyFont="1" applyBorder="1" applyAlignment="1">
      <alignment horizontal="right" vertical="top" shrinkToFit="1"/>
    </xf>
    <xf numFmtId="166" fontId="6" fillId="0" borderId="38" xfId="0" applyNumberFormat="1" applyFont="1" applyBorder="1" applyAlignment="1">
      <alignment horizontal="right" vertical="top" shrinkToFit="1"/>
    </xf>
    <xf numFmtId="0" fontId="11" fillId="0" borderId="41" xfId="0" applyFont="1" applyBorder="1" applyAlignment="1">
      <alignment horizontal="left" vertical="top" wrapText="1"/>
    </xf>
    <xf numFmtId="4" fontId="7" fillId="0" borderId="41" xfId="0" applyNumberFormat="1" applyFont="1" applyBorder="1" applyAlignment="1">
      <alignment horizontal="right" shrinkToFit="1"/>
    </xf>
    <xf numFmtId="166" fontId="7" fillId="0" borderId="41" xfId="0" applyNumberFormat="1" applyFont="1" applyBorder="1" applyAlignment="1">
      <alignment horizontal="right" shrinkToFit="1"/>
    </xf>
    <xf numFmtId="0" fontId="15" fillId="0" borderId="39" xfId="0" applyFont="1" applyBorder="1" applyAlignment="1">
      <alignment horizontal="left" vertical="top" wrapText="1" indent="2"/>
    </xf>
    <xf numFmtId="168" fontId="6" fillId="0" borderId="39" xfId="0" applyNumberFormat="1" applyFont="1" applyBorder="1" applyAlignment="1">
      <alignment horizontal="right" vertical="top" shrinkToFit="1"/>
    </xf>
    <xf numFmtId="10" fontId="6" fillId="0" borderId="39" xfId="0" applyNumberFormat="1" applyFont="1" applyBorder="1" applyAlignment="1">
      <alignment horizontal="right" vertical="top" shrinkToFit="1"/>
    </xf>
    <xf numFmtId="0" fontId="14" fillId="0" borderId="37" xfId="0" applyFont="1" applyBorder="1" applyAlignment="1">
      <alignment horizontal="left" vertical="top" wrapText="1" indent="2"/>
    </xf>
    <xf numFmtId="2" fontId="6" fillId="0" borderId="39" xfId="0" applyNumberFormat="1" applyFont="1" applyBorder="1" applyAlignment="1">
      <alignment horizontal="right" vertical="top" shrinkToFit="1"/>
    </xf>
    <xf numFmtId="0" fontId="11" fillId="0" borderId="39" xfId="0" applyFont="1" applyBorder="1" applyAlignment="1">
      <alignment horizontal="left" wrapText="1"/>
    </xf>
    <xf numFmtId="167" fontId="6" fillId="0" borderId="0" xfId="0" applyNumberFormat="1" applyFont="1" applyAlignment="1">
      <alignment horizontal="right" vertical="top" shrinkToFit="1"/>
    </xf>
    <xf numFmtId="166" fontId="6" fillId="0" borderId="0" xfId="0" applyNumberFormat="1" applyFont="1" applyAlignment="1">
      <alignment horizontal="right" vertical="top" shrinkToFit="1"/>
    </xf>
    <xf numFmtId="4" fontId="7" fillId="0" borderId="0" xfId="0" applyNumberFormat="1" applyFont="1" applyAlignment="1">
      <alignment horizontal="right" shrinkToFit="1"/>
    </xf>
    <xf numFmtId="166" fontId="7" fillId="0" borderId="0" xfId="0" applyNumberFormat="1" applyFont="1" applyAlignment="1">
      <alignment horizontal="right" shrinkToFit="1"/>
    </xf>
    <xf numFmtId="0" fontId="11" fillId="0" borderId="37" xfId="0" applyFont="1" applyBorder="1" applyAlignment="1">
      <alignment horizontal="left" wrapText="1"/>
    </xf>
    <xf numFmtId="169" fontId="6" fillId="0" borderId="38" xfId="0" applyNumberFormat="1" applyFont="1" applyBorder="1" applyAlignment="1">
      <alignment horizontal="right" vertical="top" shrinkToFit="1"/>
    </xf>
    <xf numFmtId="0" fontId="11" fillId="0" borderId="37" xfId="0" applyFont="1" applyBorder="1" applyAlignment="1">
      <alignment horizontal="left" vertical="top" wrapText="1" indent="1"/>
    </xf>
    <xf numFmtId="4" fontId="7" fillId="0" borderId="37" xfId="0" applyNumberFormat="1" applyFont="1" applyBorder="1" applyAlignment="1">
      <alignment horizontal="right" vertical="center" shrinkToFit="1"/>
    </xf>
    <xf numFmtId="166" fontId="7" fillId="0" borderId="37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left" vertical="top" wrapText="1" indent="2"/>
    </xf>
    <xf numFmtId="4" fontId="6" fillId="0" borderId="37" xfId="0" applyNumberFormat="1" applyFont="1" applyBorder="1" applyAlignment="1">
      <alignment horizontal="right" vertical="top" shrinkToFit="1"/>
    </xf>
    <xf numFmtId="166" fontId="6" fillId="0" borderId="37" xfId="0" applyNumberFormat="1" applyFont="1" applyBorder="1" applyAlignment="1">
      <alignment horizontal="right" vertical="top" shrinkToFi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ECFF"/>
      <color rgb="FFFFFFCC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137160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137160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5B7AC-5B3E-4657-A2D2-CFFED216B0BF}">
  <sheetPr codeName="Sheet1"/>
  <dimension ref="A1:S111"/>
  <sheetViews>
    <sheetView topLeftCell="A59" zoomScale="106" zoomScaleNormal="106" zoomScaleSheetLayoutView="100" workbookViewId="0">
      <selection activeCell="Q85" sqref="Q85"/>
    </sheetView>
  </sheetViews>
  <sheetFormatPr defaultRowHeight="14.4" x14ac:dyDescent="0.3"/>
  <cols>
    <col min="1" max="2" width="3" style="2" customWidth="1"/>
    <col min="3" max="3" width="5.33203125" style="2" customWidth="1"/>
    <col min="4" max="4" width="29.6640625" style="2" customWidth="1"/>
    <col min="5" max="5" width="12.33203125" hidden="1" customWidth="1"/>
    <col min="6" max="6" width="8.6640625" hidden="1" customWidth="1"/>
    <col min="7" max="7" width="12.33203125" hidden="1" customWidth="1"/>
    <col min="8" max="8" width="15.109375" style="14" hidden="1" customWidth="1"/>
    <col min="9" max="9" width="10.88671875" hidden="1" customWidth="1"/>
    <col min="10" max="10" width="12.6640625" style="59" hidden="1" customWidth="1"/>
    <col min="11" max="11" width="20" style="15" bestFit="1" customWidth="1"/>
    <col min="12" max="12" width="16" style="15" customWidth="1"/>
    <col min="13" max="13" width="19.6640625" style="15" bestFit="1" customWidth="1"/>
    <col min="14" max="14" width="19.5546875" style="15" customWidth="1"/>
    <col min="15" max="16" width="20.88671875" style="15" customWidth="1"/>
    <col min="17" max="17" width="25" customWidth="1"/>
    <col min="18" max="18" width="81.6640625" bestFit="1" customWidth="1"/>
    <col min="19" max="19" width="11" bestFit="1" customWidth="1"/>
  </cols>
  <sheetData>
    <row r="1" spans="1:19" ht="56.25" customHeight="1" thickBot="1" x14ac:dyDescent="0.35">
      <c r="A1" s="1"/>
      <c r="B1" s="1"/>
      <c r="C1" s="1"/>
      <c r="D1" s="1"/>
      <c r="E1" s="256" t="s">
        <v>0</v>
      </c>
      <c r="F1" s="257"/>
      <c r="G1" s="32"/>
      <c r="H1" s="261" t="s">
        <v>145</v>
      </c>
      <c r="I1" s="262"/>
      <c r="J1" s="263"/>
      <c r="K1" s="258" t="s">
        <v>1</v>
      </c>
      <c r="L1" s="259"/>
      <c r="M1" s="260"/>
      <c r="N1" s="264" t="s">
        <v>144</v>
      </c>
      <c r="O1" s="265"/>
      <c r="P1" s="265"/>
      <c r="Q1" s="54" t="s">
        <v>187</v>
      </c>
    </row>
    <row r="2" spans="1:19" s="41" customFormat="1" ht="25.8" thickTop="1" thickBot="1" x14ac:dyDescent="0.35">
      <c r="A2" s="33"/>
      <c r="B2" s="33"/>
      <c r="C2" s="33"/>
      <c r="D2" s="33"/>
      <c r="E2" s="34" t="s">
        <v>2</v>
      </c>
      <c r="F2" s="35" t="s">
        <v>3</v>
      </c>
      <c r="G2" s="36" t="s">
        <v>4</v>
      </c>
      <c r="H2" s="37" t="s">
        <v>131</v>
      </c>
      <c r="I2" s="38" t="s">
        <v>3</v>
      </c>
      <c r="J2" s="55" t="s">
        <v>141</v>
      </c>
      <c r="K2" s="42" t="s">
        <v>142</v>
      </c>
      <c r="L2" s="43" t="s">
        <v>3</v>
      </c>
      <c r="M2" s="44" t="s">
        <v>7</v>
      </c>
      <c r="N2" s="40" t="s">
        <v>146</v>
      </c>
      <c r="O2" s="39" t="s">
        <v>3</v>
      </c>
      <c r="P2" s="39" t="s">
        <v>141</v>
      </c>
      <c r="Q2" s="52"/>
    </row>
    <row r="3" spans="1:19" ht="15" thickTop="1" x14ac:dyDescent="0.3">
      <c r="A3" s="1" t="s">
        <v>8</v>
      </c>
      <c r="B3" s="1"/>
      <c r="C3" s="1"/>
      <c r="D3" s="1"/>
      <c r="E3" s="7"/>
      <c r="F3" s="4"/>
      <c r="G3" s="22"/>
      <c r="H3" s="29"/>
      <c r="I3" s="30"/>
      <c r="J3" s="56"/>
      <c r="K3" s="45"/>
      <c r="L3" s="46"/>
      <c r="M3" s="47"/>
      <c r="N3" s="31"/>
      <c r="O3" s="21"/>
      <c r="P3" s="51"/>
      <c r="Q3" s="53"/>
    </row>
    <row r="4" spans="1:19" x14ac:dyDescent="0.3">
      <c r="A4" s="1" t="s">
        <v>9</v>
      </c>
      <c r="B4" s="1"/>
      <c r="C4" s="1"/>
      <c r="D4" s="1"/>
      <c r="E4" s="7"/>
      <c r="F4" s="4"/>
      <c r="G4" s="22"/>
      <c r="H4" s="67"/>
      <c r="I4" s="68"/>
      <c r="J4" s="69"/>
      <c r="K4" s="70"/>
      <c r="L4" s="71"/>
      <c r="M4" s="72"/>
      <c r="N4" s="73"/>
      <c r="O4" s="74"/>
      <c r="P4" s="74"/>
      <c r="Q4" s="75"/>
    </row>
    <row r="5" spans="1:19" x14ac:dyDescent="0.3">
      <c r="A5" s="1"/>
      <c r="B5" s="1" t="s">
        <v>10</v>
      </c>
      <c r="C5" s="1"/>
      <c r="D5" s="1"/>
      <c r="E5" s="7"/>
      <c r="F5" s="4"/>
      <c r="G5" s="22"/>
      <c r="H5" s="67"/>
      <c r="I5" s="68"/>
      <c r="J5" s="69"/>
      <c r="K5" s="70"/>
      <c r="L5" s="71"/>
      <c r="M5" s="72"/>
      <c r="N5" s="73"/>
      <c r="O5" s="74"/>
      <c r="P5" s="74"/>
      <c r="Q5" s="75"/>
    </row>
    <row r="6" spans="1:19" x14ac:dyDescent="0.3">
      <c r="A6" s="1"/>
      <c r="B6" s="1"/>
      <c r="C6" s="1" t="s">
        <v>11</v>
      </c>
      <c r="D6" s="1"/>
      <c r="E6" s="7">
        <v>259.74</v>
      </c>
      <c r="F6" s="4">
        <v>100</v>
      </c>
      <c r="G6" s="23" t="e">
        <f>ROUND(IF(#REF!=0, IF(#REF!=0, 0, 1),#REF! /#REF!),5)</f>
        <v>#REF!</v>
      </c>
      <c r="H6" s="67">
        <v>0</v>
      </c>
      <c r="I6" s="68">
        <v>100</v>
      </c>
      <c r="J6" s="69">
        <f>+H6-I6</f>
        <v>-100</v>
      </c>
      <c r="K6" s="70">
        <v>0</v>
      </c>
      <c r="L6" s="71">
        <v>100</v>
      </c>
      <c r="M6" s="72">
        <f>+K6-L6</f>
        <v>-100</v>
      </c>
      <c r="N6" s="73"/>
      <c r="O6" s="74">
        <v>0</v>
      </c>
      <c r="P6" s="74"/>
      <c r="Q6" s="75"/>
    </row>
    <row r="7" spans="1:19" x14ac:dyDescent="0.3">
      <c r="A7" s="1"/>
      <c r="B7" s="1"/>
      <c r="C7" s="1" t="s">
        <v>12</v>
      </c>
      <c r="D7" s="1"/>
      <c r="E7" s="7">
        <v>20.9</v>
      </c>
      <c r="F7" s="4">
        <v>50</v>
      </c>
      <c r="G7" s="23" t="e">
        <f>ROUND(IF(#REF!=0, IF(#REF!=0, 0, 1),#REF! /#REF!),5)</f>
        <v>#REF!</v>
      </c>
      <c r="H7" s="67">
        <v>13.95</v>
      </c>
      <c r="I7" s="68">
        <v>35</v>
      </c>
      <c r="J7" s="69">
        <f t="shared" ref="J7:J26" si="0">+H7-I7</f>
        <v>-21.05</v>
      </c>
      <c r="K7" s="70">
        <v>176.25</v>
      </c>
      <c r="L7" s="71">
        <v>15</v>
      </c>
      <c r="M7" s="72">
        <f t="shared" ref="M7:M10" si="1">+K7-L7</f>
        <v>161.25</v>
      </c>
      <c r="N7" s="73">
        <v>13.05</v>
      </c>
      <c r="O7" s="74">
        <v>75</v>
      </c>
      <c r="P7" s="74">
        <f>+N7-O7</f>
        <v>-61.95</v>
      </c>
      <c r="Q7" s="76">
        <v>75</v>
      </c>
    </row>
    <row r="8" spans="1:19" x14ac:dyDescent="0.3">
      <c r="A8" s="1"/>
      <c r="B8" s="1"/>
      <c r="C8" s="1" t="s">
        <v>13</v>
      </c>
      <c r="D8" s="1"/>
      <c r="E8" s="7">
        <v>22.75</v>
      </c>
      <c r="F8" s="4">
        <v>50</v>
      </c>
      <c r="G8" s="23" t="e">
        <f>ROUND(IF(#REF!=0, IF(#REF!=0, 0, 1),#REF! /#REF!),5)</f>
        <v>#REF!</v>
      </c>
      <c r="H8" s="67">
        <v>14.01</v>
      </c>
      <c r="I8" s="68">
        <v>75</v>
      </c>
      <c r="J8" s="69">
        <f t="shared" si="0"/>
        <v>-60.99</v>
      </c>
      <c r="K8" s="70">
        <v>282.67</v>
      </c>
      <c r="L8" s="71">
        <v>15</v>
      </c>
      <c r="M8" s="72">
        <f t="shared" si="1"/>
        <v>267.67</v>
      </c>
      <c r="N8" s="73">
        <v>32.729999999999997</v>
      </c>
      <c r="O8" s="74">
        <v>125</v>
      </c>
      <c r="P8" s="74">
        <f t="shared" ref="P8:P11" si="2">+N8-O8</f>
        <v>-92.27000000000001</v>
      </c>
      <c r="Q8" s="76">
        <v>125</v>
      </c>
    </row>
    <row r="9" spans="1:19" x14ac:dyDescent="0.3">
      <c r="A9" s="1"/>
      <c r="B9" s="1"/>
      <c r="C9" s="1" t="s">
        <v>14</v>
      </c>
      <c r="D9" s="1"/>
      <c r="E9" s="7">
        <v>123.27</v>
      </c>
      <c r="F9" s="4">
        <v>450</v>
      </c>
      <c r="G9" s="23" t="e">
        <f>ROUND(IF(#REF!=0, IF(#REF!=0, 0, 1),#REF! /#REF!),5)</f>
        <v>#REF!</v>
      </c>
      <c r="H9" s="67">
        <v>171.09</v>
      </c>
      <c r="I9" s="68">
        <v>100</v>
      </c>
      <c r="J9" s="69">
        <f t="shared" si="0"/>
        <v>71.09</v>
      </c>
      <c r="K9" s="70">
        <v>160</v>
      </c>
      <c r="L9" s="71">
        <v>150</v>
      </c>
      <c r="M9" s="72">
        <f t="shared" si="1"/>
        <v>10</v>
      </c>
      <c r="N9" s="73">
        <v>124.67</v>
      </c>
      <c r="O9" s="74">
        <v>150</v>
      </c>
      <c r="P9" s="74">
        <f t="shared" si="2"/>
        <v>-25.33</v>
      </c>
      <c r="Q9" s="76">
        <v>150</v>
      </c>
    </row>
    <row r="10" spans="1:19" ht="15" thickBot="1" x14ac:dyDescent="0.35">
      <c r="A10" s="1"/>
      <c r="B10" s="1"/>
      <c r="C10" s="1" t="s">
        <v>15</v>
      </c>
      <c r="D10" s="1"/>
      <c r="E10" s="8">
        <v>880</v>
      </c>
      <c r="F10" s="3">
        <v>50</v>
      </c>
      <c r="G10" s="24" t="e">
        <f>ROUND(IF(#REF!=0, IF(#REF!=0, 0, 1),#REF! /#REF!),5)</f>
        <v>#REF!</v>
      </c>
      <c r="H10" s="77">
        <v>-16.5</v>
      </c>
      <c r="I10" s="78">
        <v>850</v>
      </c>
      <c r="J10" s="79">
        <f t="shared" si="0"/>
        <v>-866.5</v>
      </c>
      <c r="K10" s="80">
        <v>0</v>
      </c>
      <c r="L10" s="81">
        <v>1000</v>
      </c>
      <c r="M10" s="82">
        <f t="shared" si="1"/>
        <v>-1000</v>
      </c>
      <c r="N10" s="83">
        <v>0</v>
      </c>
      <c r="O10" s="84">
        <v>850</v>
      </c>
      <c r="P10" s="84">
        <f t="shared" si="2"/>
        <v>-850</v>
      </c>
      <c r="Q10" s="85">
        <v>850</v>
      </c>
    </row>
    <row r="11" spans="1:19" x14ac:dyDescent="0.3">
      <c r="A11" s="1"/>
      <c r="B11" s="1" t="s">
        <v>16</v>
      </c>
      <c r="C11" s="1"/>
      <c r="D11" s="1"/>
      <c r="E11" s="7">
        <f>ROUND(SUM(E5:E10),5)</f>
        <v>1306.6600000000001</v>
      </c>
      <c r="F11" s="4">
        <f>ROUND(SUM(F5:F10),5)</f>
        <v>700</v>
      </c>
      <c r="G11" s="23" t="e">
        <f>ROUND(IF(#REF!=0, IF(#REF!=0, 0, 1),#REF! /#REF!),5)</f>
        <v>#REF!</v>
      </c>
      <c r="H11" s="67">
        <f>SUM(H6:H10)</f>
        <v>182.55</v>
      </c>
      <c r="I11" s="68">
        <f>ROUND(SUM(I5:I10),5)</f>
        <v>1160</v>
      </c>
      <c r="J11" s="69">
        <f t="shared" si="0"/>
        <v>-977.45</v>
      </c>
      <c r="K11" s="70">
        <f>SUM(K6:K10)</f>
        <v>618.92000000000007</v>
      </c>
      <c r="L11" s="71">
        <f>SUM(L6:L10)</f>
        <v>1280</v>
      </c>
      <c r="M11" s="72">
        <f>SUM(M6:M10)</f>
        <v>-661.07999999999993</v>
      </c>
      <c r="N11" s="73">
        <f>SUM(N7:N10)</f>
        <v>170.45</v>
      </c>
      <c r="O11" s="74">
        <f>SUM(O6:O10)</f>
        <v>1200</v>
      </c>
      <c r="P11" s="86">
        <f t="shared" si="2"/>
        <v>-1029.55</v>
      </c>
      <c r="Q11" s="76">
        <f>SUM(Q6:Q10)</f>
        <v>1200</v>
      </c>
    </row>
    <row r="12" spans="1:19" x14ac:dyDescent="0.3">
      <c r="A12" s="1"/>
      <c r="B12" s="1" t="s">
        <v>17</v>
      </c>
      <c r="C12" s="1"/>
      <c r="D12" s="1"/>
      <c r="E12" s="7"/>
      <c r="F12" s="4"/>
      <c r="G12" s="22"/>
      <c r="H12" s="67"/>
      <c r="I12" s="68"/>
      <c r="J12" s="69"/>
      <c r="K12" s="70"/>
      <c r="L12" s="71"/>
      <c r="M12" s="72"/>
      <c r="N12" s="73"/>
      <c r="O12" s="74"/>
      <c r="P12" s="74"/>
      <c r="Q12" s="76"/>
    </row>
    <row r="13" spans="1:19" x14ac:dyDescent="0.3">
      <c r="A13" s="1"/>
      <c r="B13" s="1"/>
      <c r="C13" s="1" t="s">
        <v>18</v>
      </c>
      <c r="D13" s="1"/>
      <c r="E13" s="7">
        <v>497829</v>
      </c>
      <c r="F13" s="4">
        <v>485000</v>
      </c>
      <c r="G13" s="23" t="e">
        <f>ROUND(IF(#REF!=0, IF(#REF!=0, 0, 1),#REF! /#REF!),5)</f>
        <v>#REF!</v>
      </c>
      <c r="H13" s="67">
        <v>506041.64</v>
      </c>
      <c r="I13" s="68">
        <v>475000</v>
      </c>
      <c r="J13" s="69">
        <f t="shared" si="0"/>
        <v>31041.640000000014</v>
      </c>
      <c r="K13" s="70">
        <v>467101.89</v>
      </c>
      <c r="L13" s="71">
        <v>495000</v>
      </c>
      <c r="M13" s="72">
        <f t="shared" ref="M13:M16" si="3">+K13-L13</f>
        <v>-27898.109999999986</v>
      </c>
      <c r="N13" s="73">
        <v>491618.28</v>
      </c>
      <c r="O13" s="74">
        <v>490000</v>
      </c>
      <c r="P13" s="74">
        <f t="shared" ref="P13:P17" si="4">+N13-O13</f>
        <v>1618.2800000000279</v>
      </c>
      <c r="Q13" s="76">
        <v>516000</v>
      </c>
    </row>
    <row r="14" spans="1:19" x14ac:dyDescent="0.3">
      <c r="A14" s="1"/>
      <c r="B14" s="1"/>
      <c r="C14" s="1" t="s">
        <v>19</v>
      </c>
      <c r="D14" s="1"/>
      <c r="E14" s="7">
        <v>15750</v>
      </c>
      <c r="F14" s="4">
        <v>25000</v>
      </c>
      <c r="G14" s="23" t="e">
        <f>ROUND(IF(#REF!=0, IF(#REF!=0, 0, 1),#REF! /#REF!),5)</f>
        <v>#REF!</v>
      </c>
      <c r="H14" s="67">
        <v>7356</v>
      </c>
      <c r="I14" s="68">
        <v>25000</v>
      </c>
      <c r="J14" s="69">
        <f t="shared" si="0"/>
        <v>-17644</v>
      </c>
      <c r="K14" s="70">
        <v>7804</v>
      </c>
      <c r="L14" s="71">
        <v>13000</v>
      </c>
      <c r="M14" s="72">
        <f t="shared" si="3"/>
        <v>-5196</v>
      </c>
      <c r="N14" s="73">
        <v>12753</v>
      </c>
      <c r="O14" s="74">
        <v>15000</v>
      </c>
      <c r="P14" s="74">
        <f t="shared" si="4"/>
        <v>-2247</v>
      </c>
      <c r="Q14" s="76">
        <v>15000</v>
      </c>
      <c r="R14" s="14"/>
      <c r="S14" s="14"/>
    </row>
    <row r="15" spans="1:19" x14ac:dyDescent="0.3">
      <c r="A15" s="1"/>
      <c r="B15" s="1"/>
      <c r="C15" s="1" t="s">
        <v>20</v>
      </c>
      <c r="D15" s="1"/>
      <c r="E15" s="7">
        <v>1925</v>
      </c>
      <c r="F15" s="4">
        <v>2500</v>
      </c>
      <c r="G15" s="23" t="e">
        <f>ROUND(IF(#REF!=0, IF(#REF!=0, 0, 1),#REF! /#REF!),5)</f>
        <v>#REF!</v>
      </c>
      <c r="H15" s="67">
        <v>772</v>
      </c>
      <c r="I15" s="68">
        <v>2000</v>
      </c>
      <c r="J15" s="69">
        <f t="shared" si="0"/>
        <v>-1228</v>
      </c>
      <c r="K15" s="70">
        <v>1310</v>
      </c>
      <c r="L15" s="71">
        <v>1000</v>
      </c>
      <c r="M15" s="72">
        <f t="shared" si="3"/>
        <v>310</v>
      </c>
      <c r="N15" s="73">
        <v>2011</v>
      </c>
      <c r="O15" s="74">
        <v>1000</v>
      </c>
      <c r="P15" s="74">
        <f t="shared" si="4"/>
        <v>1011</v>
      </c>
      <c r="Q15" s="76">
        <v>2000</v>
      </c>
      <c r="R15" s="14"/>
      <c r="S15" s="14"/>
    </row>
    <row r="16" spans="1:19" ht="15" thickBot="1" x14ac:dyDescent="0.35">
      <c r="A16" s="1"/>
      <c r="B16" s="1"/>
      <c r="C16" s="1" t="s">
        <v>21</v>
      </c>
      <c r="D16" s="1"/>
      <c r="E16" s="8">
        <v>1075</v>
      </c>
      <c r="F16" s="3">
        <v>2500</v>
      </c>
      <c r="G16" s="24" t="e">
        <f>ROUND(IF(#REF!=0, IF(#REF!=0, 0, 1),#REF! /#REF!),5)</f>
        <v>#REF!</v>
      </c>
      <c r="H16" s="77">
        <v>2297</v>
      </c>
      <c r="I16" s="78">
        <v>1000</v>
      </c>
      <c r="J16" s="79">
        <f t="shared" si="0"/>
        <v>1297</v>
      </c>
      <c r="K16" s="80">
        <v>2648</v>
      </c>
      <c r="L16" s="81">
        <v>1000</v>
      </c>
      <c r="M16" s="82">
        <f t="shared" si="3"/>
        <v>1648</v>
      </c>
      <c r="N16" s="83">
        <v>2249</v>
      </c>
      <c r="O16" s="84">
        <v>2000</v>
      </c>
      <c r="P16" s="84">
        <f t="shared" si="4"/>
        <v>249</v>
      </c>
      <c r="Q16" s="85">
        <v>2000</v>
      </c>
      <c r="R16" s="14"/>
      <c r="S16" s="14"/>
    </row>
    <row r="17" spans="1:17" x14ac:dyDescent="0.3">
      <c r="A17" s="1"/>
      <c r="B17" s="1" t="s">
        <v>22</v>
      </c>
      <c r="C17" s="1"/>
      <c r="D17" s="1"/>
      <c r="E17" s="7">
        <f>ROUND(SUM(E12:E16),5)</f>
        <v>516579</v>
      </c>
      <c r="F17" s="4">
        <f>ROUND(SUM(F12:F16),5)</f>
        <v>515000</v>
      </c>
      <c r="G17" s="23" t="e">
        <f>ROUND(IF(#REF!=0, IF(#REF!=0, 0, 1),#REF! /#REF!),5)</f>
        <v>#REF!</v>
      </c>
      <c r="H17" s="87">
        <f>SUM(H13:H16)</f>
        <v>516466.64</v>
      </c>
      <c r="I17" s="88">
        <f>ROUND(SUM(I12:I16),5)</f>
        <v>503000</v>
      </c>
      <c r="J17" s="89">
        <f t="shared" si="0"/>
        <v>13466.640000000014</v>
      </c>
      <c r="K17" s="90">
        <f>SUM(K13:K16)</f>
        <v>478863.89</v>
      </c>
      <c r="L17" s="90">
        <f>SUM(L13:L16)</f>
        <v>510000</v>
      </c>
      <c r="M17" s="90">
        <f>SUM(M13:M16)</f>
        <v>-31136.109999999986</v>
      </c>
      <c r="N17" s="86">
        <f>SUM(N13:N16)</f>
        <v>508631.28</v>
      </c>
      <c r="O17" s="86">
        <f>SUM(O13:O16)</f>
        <v>508000</v>
      </c>
      <c r="P17" s="86">
        <f t="shared" si="4"/>
        <v>631.28000000002794</v>
      </c>
      <c r="Q17" s="91">
        <f>SUM(Q13:Q16)</f>
        <v>535000</v>
      </c>
    </row>
    <row r="18" spans="1:17" x14ac:dyDescent="0.3">
      <c r="A18" s="1"/>
      <c r="B18" s="1" t="s">
        <v>23</v>
      </c>
      <c r="C18" s="1"/>
      <c r="E18" s="7"/>
      <c r="F18" s="4"/>
      <c r="G18" s="23"/>
      <c r="H18" s="67"/>
      <c r="I18" s="68"/>
      <c r="J18" s="69"/>
      <c r="K18" s="71"/>
      <c r="L18" s="71"/>
      <c r="M18" s="71"/>
      <c r="N18" s="74"/>
      <c r="O18" s="74"/>
      <c r="P18" s="74"/>
      <c r="Q18" s="76"/>
    </row>
    <row r="19" spans="1:17" ht="15" thickBot="1" x14ac:dyDescent="0.35">
      <c r="A19" s="1"/>
      <c r="B19" s="1"/>
      <c r="C19" s="1" t="s">
        <v>24</v>
      </c>
      <c r="D19" s="1"/>
      <c r="E19" s="8">
        <v>0</v>
      </c>
      <c r="F19" s="3">
        <v>0</v>
      </c>
      <c r="G19" s="24" t="e">
        <f>ROUND(IF(#REF!=0, IF(#REF!=0, 0, 1),#REF! /#REF!),5)</f>
        <v>#REF!</v>
      </c>
      <c r="H19" s="67">
        <v>0</v>
      </c>
      <c r="I19" s="68">
        <v>750</v>
      </c>
      <c r="J19" s="69">
        <f t="shared" si="0"/>
        <v>-750</v>
      </c>
      <c r="K19" s="71">
        <v>3630</v>
      </c>
      <c r="L19" s="71">
        <v>750</v>
      </c>
      <c r="M19" s="71">
        <f>+K19-L19</f>
        <v>2880</v>
      </c>
      <c r="N19" s="74">
        <v>774</v>
      </c>
      <c r="O19" s="74">
        <v>750</v>
      </c>
      <c r="P19" s="74">
        <f t="shared" ref="P19:P21" si="5">+N19-O19</f>
        <v>24</v>
      </c>
      <c r="Q19" s="76">
        <v>750</v>
      </c>
    </row>
    <row r="20" spans="1:17" x14ac:dyDescent="0.3">
      <c r="A20" s="1"/>
      <c r="B20" s="1"/>
      <c r="C20" s="1" t="s">
        <v>25</v>
      </c>
      <c r="D20" s="1" t="s">
        <v>26</v>
      </c>
      <c r="E20" s="7"/>
      <c r="F20" s="4"/>
      <c r="G20" s="23"/>
      <c r="H20" s="92"/>
      <c r="I20" s="93"/>
      <c r="J20" s="94"/>
      <c r="K20" s="95">
        <v>0</v>
      </c>
      <c r="L20" s="95">
        <v>1000</v>
      </c>
      <c r="M20" s="95">
        <f>+K20-L20</f>
        <v>-1000</v>
      </c>
      <c r="N20" s="96">
        <v>0</v>
      </c>
      <c r="O20" s="96">
        <v>750</v>
      </c>
      <c r="P20" s="96">
        <f t="shared" si="5"/>
        <v>-750</v>
      </c>
      <c r="Q20" s="97">
        <v>0</v>
      </c>
    </row>
    <row r="21" spans="1:17" x14ac:dyDescent="0.3">
      <c r="A21" s="1"/>
      <c r="B21" s="1" t="s">
        <v>27</v>
      </c>
      <c r="C21" s="1"/>
      <c r="D21" s="1"/>
      <c r="E21" s="7">
        <f>ROUND(SUM(E18:E19),5)</f>
        <v>0</v>
      </c>
      <c r="F21" s="4">
        <f>ROUND(SUM(F18:F19),5)</f>
        <v>0</v>
      </c>
      <c r="G21" s="23" t="e">
        <f>ROUND(IF(#REF!=0, IF(#REF!=0, 0, 1),#REF! /#REF!),5)</f>
        <v>#REF!</v>
      </c>
      <c r="H21" s="98">
        <v>0</v>
      </c>
      <c r="I21" s="68">
        <f>ROUND(SUM(I18:I19),5)</f>
        <v>750</v>
      </c>
      <c r="J21" s="69">
        <f t="shared" si="0"/>
        <v>-750</v>
      </c>
      <c r="K21" s="71">
        <f>SUM(K19)</f>
        <v>3630</v>
      </c>
      <c r="L21" s="71">
        <f>SUM(L19+L20)</f>
        <v>1750</v>
      </c>
      <c r="M21" s="71">
        <f>+K21-L21</f>
        <v>1880</v>
      </c>
      <c r="N21" s="74">
        <f>SUM(N19:N20)</f>
        <v>774</v>
      </c>
      <c r="O21" s="74">
        <f>SUM(O19)</f>
        <v>750</v>
      </c>
      <c r="P21" s="74">
        <f t="shared" si="5"/>
        <v>24</v>
      </c>
      <c r="Q21" s="76">
        <f>SUM(Q19:Q20)</f>
        <v>750</v>
      </c>
    </row>
    <row r="22" spans="1:17" ht="15" customHeight="1" x14ac:dyDescent="0.3">
      <c r="A22" s="1"/>
      <c r="B22" s="1" t="s">
        <v>28</v>
      </c>
      <c r="C22" s="1"/>
      <c r="D22" s="1"/>
      <c r="E22" s="7"/>
      <c r="F22" s="4"/>
      <c r="G22" s="23"/>
      <c r="H22" s="67"/>
      <c r="I22" s="68"/>
      <c r="J22" s="69"/>
      <c r="K22" s="71"/>
      <c r="L22" s="71"/>
      <c r="M22" s="71"/>
      <c r="N22" s="74"/>
      <c r="O22" s="74"/>
      <c r="P22" s="74"/>
      <c r="Q22" s="76"/>
    </row>
    <row r="23" spans="1:17" x14ac:dyDescent="0.3">
      <c r="A23" s="1"/>
      <c r="B23" s="1"/>
      <c r="C23" s="1" t="s">
        <v>29</v>
      </c>
      <c r="D23" s="1"/>
      <c r="E23" s="7">
        <v>11333.66</v>
      </c>
      <c r="F23" s="4">
        <v>1000</v>
      </c>
      <c r="G23" s="23" t="e">
        <f>ROUND(IF(#REF!=0, IF(#REF!=0, 0, 1),#REF! /#REF!),5)</f>
        <v>#REF!</v>
      </c>
      <c r="H23" s="67">
        <v>-1718.71</v>
      </c>
      <c r="I23" s="68">
        <v>2000</v>
      </c>
      <c r="J23" s="69">
        <f t="shared" si="0"/>
        <v>-3718.71</v>
      </c>
      <c r="K23" s="71">
        <v>7561.89</v>
      </c>
      <c r="L23" s="71">
        <v>1000</v>
      </c>
      <c r="M23" s="71">
        <f t="shared" ref="M23:M24" si="6">+K23-L23</f>
        <v>6561.89</v>
      </c>
      <c r="N23" s="74">
        <v>7904.04</v>
      </c>
      <c r="O23" s="74">
        <v>2000</v>
      </c>
      <c r="P23" s="74">
        <f t="shared" ref="P23:P31" si="7">+N23-O23</f>
        <v>5904.04</v>
      </c>
      <c r="Q23" s="76">
        <v>2000</v>
      </c>
    </row>
    <row r="24" spans="1:17" ht="15" thickBot="1" x14ac:dyDescent="0.35">
      <c r="A24" s="1"/>
      <c r="B24" s="1"/>
      <c r="C24" s="1" t="s">
        <v>31</v>
      </c>
      <c r="D24" s="1" t="s">
        <v>32</v>
      </c>
      <c r="E24" s="7"/>
      <c r="F24" s="4"/>
      <c r="G24" s="24" t="e">
        <f>ROUND(IF(#REF!=0, IF(#REF!=0, 0, 1),#REF! /#REF!),5)</f>
        <v>#REF!</v>
      </c>
      <c r="H24" s="67">
        <v>0</v>
      </c>
      <c r="I24" s="68">
        <v>3240</v>
      </c>
      <c r="J24" s="69">
        <f t="shared" si="0"/>
        <v>-3240</v>
      </c>
      <c r="K24" s="71">
        <v>0</v>
      </c>
      <c r="L24" s="71">
        <v>5000</v>
      </c>
      <c r="M24" s="71">
        <f t="shared" si="6"/>
        <v>-5000</v>
      </c>
      <c r="N24" s="74">
        <v>0</v>
      </c>
      <c r="O24" s="74">
        <v>1000</v>
      </c>
      <c r="P24" s="74">
        <f t="shared" si="7"/>
        <v>-1000</v>
      </c>
      <c r="Q24" s="76">
        <v>1000</v>
      </c>
    </row>
    <row r="25" spans="1:17" ht="15" thickBot="1" x14ac:dyDescent="0.35">
      <c r="A25" s="1"/>
      <c r="B25" s="1"/>
      <c r="C25" s="1" t="s">
        <v>138</v>
      </c>
      <c r="D25" s="1"/>
      <c r="E25" s="7"/>
      <c r="F25" s="4"/>
      <c r="G25" s="24"/>
      <c r="H25" s="67">
        <v>0</v>
      </c>
      <c r="I25" s="68">
        <v>0</v>
      </c>
      <c r="J25" s="69">
        <v>0</v>
      </c>
      <c r="K25" s="71">
        <v>40</v>
      </c>
      <c r="L25" s="71">
        <v>0</v>
      </c>
      <c r="M25" s="71">
        <v>40</v>
      </c>
      <c r="N25" s="74">
        <v>0</v>
      </c>
      <c r="O25" s="74">
        <v>0</v>
      </c>
      <c r="P25" s="74">
        <f t="shared" si="7"/>
        <v>0</v>
      </c>
      <c r="Q25" s="76">
        <v>0</v>
      </c>
    </row>
    <row r="26" spans="1:17" ht="15" thickBot="1" x14ac:dyDescent="0.35">
      <c r="A26" s="1"/>
      <c r="B26" s="1" t="s">
        <v>33</v>
      </c>
      <c r="C26" s="1"/>
      <c r="D26" s="1"/>
      <c r="E26" s="9">
        <f ca="1">ROUND(SUM(E22:E28),5)</f>
        <v>11333.66</v>
      </c>
      <c r="F26" s="5">
        <f ca="1">ROUND(SUM(F22:F28),5)</f>
        <v>2000</v>
      </c>
      <c r="G26" s="25" t="e">
        <f>ROUND(IF(#REF!=0, IF(#REF!=0, 0, 1),#REF! /#REF!),5)</f>
        <v>#REF!</v>
      </c>
      <c r="H26" s="77">
        <f ca="1">SUM(H23:H29)</f>
        <v>-1718.71</v>
      </c>
      <c r="I26" s="78">
        <f>ROUND(SUM(I22:I24),5)</f>
        <v>5240</v>
      </c>
      <c r="J26" s="79">
        <f t="shared" ca="1" si="0"/>
        <v>-6958.71</v>
      </c>
      <c r="K26" s="81">
        <f ca="1">SUM(K23:K29)</f>
        <v>7601.89</v>
      </c>
      <c r="L26" s="81">
        <f ca="1">SUM(L23:L29)</f>
        <v>6000</v>
      </c>
      <c r="M26" s="81">
        <f ca="1">SUM(M23:M29)</f>
        <v>1601.8900000000003</v>
      </c>
      <c r="N26" s="84">
        <f ca="1">SUM(N23:N29)</f>
        <v>13904.04</v>
      </c>
      <c r="O26" s="84">
        <f ca="1">SUM(O23:O29)</f>
        <v>3000</v>
      </c>
      <c r="P26" s="84">
        <f t="shared" ca="1" si="7"/>
        <v>10904.04</v>
      </c>
      <c r="Q26" s="85">
        <f>SUM(Q23:Q25)</f>
        <v>3000</v>
      </c>
    </row>
    <row r="27" spans="1:17" x14ac:dyDescent="0.3">
      <c r="A27" s="1"/>
      <c r="B27" s="1" t="s">
        <v>197</v>
      </c>
      <c r="C27" s="1"/>
      <c r="E27" s="7"/>
      <c r="F27" s="4"/>
      <c r="G27" s="23"/>
      <c r="H27" s="67"/>
      <c r="I27" s="68"/>
      <c r="J27" s="69"/>
      <c r="K27" s="71"/>
      <c r="L27" s="71"/>
      <c r="M27" s="71"/>
      <c r="N27" s="74"/>
      <c r="O27" s="74"/>
      <c r="P27" s="74"/>
      <c r="Q27" s="76"/>
    </row>
    <row r="28" spans="1:17" x14ac:dyDescent="0.3">
      <c r="A28" s="1"/>
      <c r="B28" s="1"/>
      <c r="C28" s="1" t="s">
        <v>30</v>
      </c>
      <c r="D28" s="1"/>
      <c r="E28" s="7">
        <v>0</v>
      </c>
      <c r="F28" s="4">
        <v>1000</v>
      </c>
      <c r="G28" s="23" t="e">
        <f>ROUND(IF(#REF!=0, IF(#REF!=0, 0, 1),#REF! /#REF!),5)</f>
        <v>#REF!</v>
      </c>
      <c r="H28" s="67">
        <v>1000</v>
      </c>
      <c r="I28" s="68">
        <v>1000</v>
      </c>
      <c r="J28" s="69">
        <f>+H28-I28</f>
        <v>0</v>
      </c>
      <c r="K28" s="71">
        <v>1000</v>
      </c>
      <c r="L28" s="71">
        <v>1000</v>
      </c>
      <c r="M28" s="71">
        <f>+K28-L28</f>
        <v>0</v>
      </c>
      <c r="N28" s="74">
        <v>0</v>
      </c>
      <c r="O28" s="74">
        <v>1000</v>
      </c>
      <c r="P28" s="74">
        <f>+N28-O28</f>
        <v>-1000</v>
      </c>
      <c r="Q28" s="76">
        <v>1000</v>
      </c>
    </row>
    <row r="29" spans="1:17" ht="15" thickBot="1" x14ac:dyDescent="0.35">
      <c r="A29" s="1"/>
      <c r="B29" s="1"/>
      <c r="C29" s="1" t="s">
        <v>147</v>
      </c>
      <c r="D29" s="1"/>
      <c r="E29" s="7"/>
      <c r="F29" s="4"/>
      <c r="G29" s="24"/>
      <c r="H29" s="67">
        <v>0</v>
      </c>
      <c r="I29" s="68">
        <v>0</v>
      </c>
      <c r="J29" s="69">
        <v>0</v>
      </c>
      <c r="K29" s="71">
        <v>0</v>
      </c>
      <c r="L29" s="71">
        <v>0</v>
      </c>
      <c r="M29" s="71">
        <v>0</v>
      </c>
      <c r="N29" s="74">
        <v>6000</v>
      </c>
      <c r="O29" s="74">
        <v>0</v>
      </c>
      <c r="P29" s="74">
        <f>+N29-O29</f>
        <v>6000</v>
      </c>
      <c r="Q29" s="76">
        <v>0</v>
      </c>
    </row>
    <row r="30" spans="1:17" ht="15" thickBot="1" x14ac:dyDescent="0.35">
      <c r="A30" s="1"/>
      <c r="B30" s="1" t="s">
        <v>198</v>
      </c>
      <c r="C30" s="1"/>
      <c r="D30" s="1"/>
      <c r="E30" s="7">
        <f>ROUND(SUM(E27:E28),5)</f>
        <v>0</v>
      </c>
      <c r="F30" s="4">
        <f>ROUND(SUM(F27:F28),5)</f>
        <v>1000</v>
      </c>
      <c r="G30" s="23" t="e">
        <f>ROUND(IF(#REF!=0, IF(#REF!=0, 0, 1),#REF! /#REF!),5)</f>
        <v>#REF!</v>
      </c>
      <c r="H30" s="77">
        <f t="shared" ref="H30:Q30" si="8">SUM(H28:H29)</f>
        <v>1000</v>
      </c>
      <c r="I30" s="78">
        <f t="shared" si="8"/>
        <v>1000</v>
      </c>
      <c r="J30" s="78">
        <f t="shared" si="8"/>
        <v>0</v>
      </c>
      <c r="K30" s="81">
        <f t="shared" si="8"/>
        <v>1000</v>
      </c>
      <c r="L30" s="81">
        <f t="shared" si="8"/>
        <v>1000</v>
      </c>
      <c r="M30" s="81">
        <f t="shared" si="8"/>
        <v>0</v>
      </c>
      <c r="N30" s="84">
        <f t="shared" si="8"/>
        <v>6000</v>
      </c>
      <c r="O30" s="84">
        <f t="shared" si="8"/>
        <v>1000</v>
      </c>
      <c r="P30" s="84">
        <f t="shared" si="8"/>
        <v>5000</v>
      </c>
      <c r="Q30" s="85">
        <f t="shared" si="8"/>
        <v>1000</v>
      </c>
    </row>
    <row r="31" spans="1:17" ht="15" thickBot="1" x14ac:dyDescent="0.35">
      <c r="A31" s="1" t="s">
        <v>34</v>
      </c>
      <c r="B31" s="1"/>
      <c r="C31" s="1"/>
      <c r="D31" s="1"/>
      <c r="E31" s="10">
        <f ca="1">ROUND(E4+'Conventions and Meetings'!D17+E11+E17+E21+E26,5)</f>
        <v>679054.32</v>
      </c>
      <c r="F31" s="6">
        <f ca="1">ROUND(F4+'Conventions and Meetings'!E17+F11+F17+F21+F26,5)</f>
        <v>671900</v>
      </c>
      <c r="G31" s="25" t="e">
        <f>ROUND(IF(#REF!=0, IF(#REF!=0, 0, 1),#REF! /#REF!),5)</f>
        <v>#REF!</v>
      </c>
      <c r="H31" s="77">
        <f ca="1">+H11+H17+H21+H26+H30</f>
        <v>0</v>
      </c>
      <c r="I31" s="78">
        <f>ROUND(I11+I17+I21+I26+I30,5)</f>
        <v>511150</v>
      </c>
      <c r="J31" s="79">
        <f ca="1">+H31-I31</f>
        <v>4780.4799999999814</v>
      </c>
      <c r="K31" s="80">
        <f ca="1">+K11+K17+K21+K26</f>
        <v>490714.7</v>
      </c>
      <c r="L31" s="81">
        <f ca="1">+L11+L17+L21+L26</f>
        <v>519030</v>
      </c>
      <c r="M31" s="81">
        <f ca="1">+M11+M17+M26</f>
        <v>-30195.299999999988</v>
      </c>
      <c r="N31" s="84">
        <f ca="1">+N11+N17+N21+N26</f>
        <v>523479.77</v>
      </c>
      <c r="O31" s="84">
        <f ca="1">+O11+O17+O21+O26</f>
        <v>512950</v>
      </c>
      <c r="P31" s="84">
        <f t="shared" ca="1" si="7"/>
        <v>10529.770000000019</v>
      </c>
      <c r="Q31" s="85">
        <f>+Q11+Q17+Q21+Q26+Q30</f>
        <v>540950</v>
      </c>
    </row>
    <row r="32" spans="1:17" x14ac:dyDescent="0.3">
      <c r="A32" s="1" t="s">
        <v>35</v>
      </c>
      <c r="B32" s="1"/>
      <c r="C32" s="1"/>
      <c r="D32" s="1"/>
      <c r="E32" s="7">
        <f ca="1">E31</f>
        <v>679054.32</v>
      </c>
      <c r="F32" s="4">
        <f ca="1">F31</f>
        <v>671900</v>
      </c>
      <c r="G32" s="23" t="e">
        <f>ROUND(IF(#REF!=0, IF(#REF!=0, 0, 1),#REF! /#REF!),5)</f>
        <v>#REF!</v>
      </c>
      <c r="H32" s="67">
        <f ca="1">SUM(H31)</f>
        <v>514930.48</v>
      </c>
      <c r="I32" s="68">
        <f>I31</f>
        <v>511150</v>
      </c>
      <c r="J32" s="69">
        <f ca="1">+H32-I32</f>
        <v>4780.4799999999814</v>
      </c>
      <c r="K32" s="70">
        <f t="shared" ref="K32:O32" ca="1" si="9">SUM(K31)</f>
        <v>490714.7</v>
      </c>
      <c r="L32" s="71">
        <f t="shared" ca="1" si="9"/>
        <v>519030</v>
      </c>
      <c r="M32" s="72">
        <f t="shared" ca="1" si="9"/>
        <v>-30195.299999999988</v>
      </c>
      <c r="N32" s="73">
        <f ca="1">SUM(N31)</f>
        <v>523479.77</v>
      </c>
      <c r="O32" s="74">
        <f t="shared" ca="1" si="9"/>
        <v>512950</v>
      </c>
      <c r="P32" s="86">
        <f ca="1">SUM(P31)</f>
        <v>10529.770000000019</v>
      </c>
      <c r="Q32" s="76">
        <f t="shared" ref="Q32" si="10">SUM(Q31)</f>
        <v>540950</v>
      </c>
    </row>
    <row r="33" spans="1:17" x14ac:dyDescent="0.3">
      <c r="A33" s="1" t="s">
        <v>36</v>
      </c>
      <c r="B33" s="1"/>
      <c r="C33" s="1"/>
      <c r="D33" s="1"/>
      <c r="E33" s="7"/>
      <c r="F33" s="4"/>
      <c r="G33" s="23"/>
      <c r="H33" s="67"/>
      <c r="I33" s="68"/>
      <c r="J33" s="69"/>
      <c r="K33" s="70"/>
      <c r="L33" s="71"/>
      <c r="M33" s="72"/>
      <c r="N33" s="73"/>
      <c r="O33" s="74"/>
      <c r="P33" s="74"/>
      <c r="Q33" s="76"/>
    </row>
    <row r="34" spans="1:17" x14ac:dyDescent="0.3">
      <c r="A34" s="1"/>
      <c r="B34" s="1" t="s">
        <v>37</v>
      </c>
      <c r="C34" s="1"/>
      <c r="D34" s="1"/>
      <c r="E34" s="7"/>
      <c r="F34" s="4"/>
      <c r="G34" s="23"/>
      <c r="H34" s="67"/>
      <c r="I34" s="68"/>
      <c r="J34" s="69"/>
      <c r="K34" s="70"/>
      <c r="L34" s="71"/>
      <c r="M34" s="72"/>
      <c r="N34" s="73"/>
      <c r="O34" s="74"/>
      <c r="P34" s="74"/>
      <c r="Q34" s="76"/>
    </row>
    <row r="35" spans="1:17" x14ac:dyDescent="0.3">
      <c r="A35" s="1"/>
      <c r="B35" s="1"/>
      <c r="C35" s="1" t="s">
        <v>38</v>
      </c>
      <c r="D35" s="1"/>
      <c r="E35" s="7">
        <v>0</v>
      </c>
      <c r="F35" s="4">
        <v>500</v>
      </c>
      <c r="G35" s="23" t="e">
        <f>ROUND(IF(#REF!=0, IF(#REF!=0, 0, 1),#REF! /#REF!),5)</f>
        <v>#REF!</v>
      </c>
      <c r="H35" s="67">
        <v>0</v>
      </c>
      <c r="I35" s="68">
        <v>2000</v>
      </c>
      <c r="J35" s="69">
        <f>+H35-I35</f>
        <v>-2000</v>
      </c>
      <c r="K35" s="70">
        <v>552.72</v>
      </c>
      <c r="L35" s="71">
        <v>10000</v>
      </c>
      <c r="M35" s="72">
        <f t="shared" ref="M35:M36" si="11">+K35-L35</f>
        <v>-9447.2800000000007</v>
      </c>
      <c r="N35" s="73">
        <v>0</v>
      </c>
      <c r="O35" s="74">
        <v>10000</v>
      </c>
      <c r="P35" s="74">
        <f t="shared" ref="P35:P37" si="12">+N35-O35</f>
        <v>-10000</v>
      </c>
      <c r="Q35" s="76">
        <v>2000</v>
      </c>
    </row>
    <row r="36" spans="1:17" ht="15" thickBot="1" x14ac:dyDescent="0.35">
      <c r="A36" s="1"/>
      <c r="B36" s="1"/>
      <c r="C36" s="1" t="s">
        <v>39</v>
      </c>
      <c r="D36" s="1"/>
      <c r="E36" s="8">
        <v>139.03</v>
      </c>
      <c r="F36" s="3">
        <v>0</v>
      </c>
      <c r="G36" s="24" t="e">
        <f>ROUND(IF(#REF!=0, IF(#REF!=0, 0, 1),#REF! /#REF!),5)</f>
        <v>#REF!</v>
      </c>
      <c r="H36" s="77">
        <v>0</v>
      </c>
      <c r="I36" s="78">
        <v>150</v>
      </c>
      <c r="J36" s="79">
        <f>+H36-I36</f>
        <v>-150</v>
      </c>
      <c r="K36" s="80">
        <v>0</v>
      </c>
      <c r="L36" s="81">
        <v>150</v>
      </c>
      <c r="M36" s="82">
        <f t="shared" si="11"/>
        <v>-150</v>
      </c>
      <c r="N36" s="83">
        <v>0</v>
      </c>
      <c r="O36" s="84">
        <v>150</v>
      </c>
      <c r="P36" s="84">
        <f t="shared" si="12"/>
        <v>-150</v>
      </c>
      <c r="Q36" s="85">
        <v>0</v>
      </c>
    </row>
    <row r="37" spans="1:17" x14ac:dyDescent="0.3">
      <c r="A37" s="1"/>
      <c r="B37" s="1" t="s">
        <v>40</v>
      </c>
      <c r="C37" s="1"/>
      <c r="D37" s="1"/>
      <c r="E37" s="9">
        <f>ROUND(SUM(E34:E36),5)</f>
        <v>139.03</v>
      </c>
      <c r="F37" s="5">
        <f>ROUND(SUM(F34:F36),5)</f>
        <v>500</v>
      </c>
      <c r="G37" s="26" t="e">
        <f>ROUND(IF(#REF!=0, IF(#REF!=0, 0, 1),#REF! /#REF!),5)</f>
        <v>#REF!</v>
      </c>
      <c r="H37" s="67">
        <v>0</v>
      </c>
      <c r="I37" s="68">
        <f>ROUND(SUM(I34:I36),5)</f>
        <v>2150</v>
      </c>
      <c r="J37" s="69">
        <f>+H37-I37</f>
        <v>-2150</v>
      </c>
      <c r="K37" s="70">
        <f>SUM(K35:K36)</f>
        <v>552.72</v>
      </c>
      <c r="L37" s="71">
        <f>SUM(L35:L36)</f>
        <v>10150</v>
      </c>
      <c r="M37" s="72">
        <f>SUM(M35:M36)</f>
        <v>-9597.2800000000007</v>
      </c>
      <c r="N37" s="73">
        <f>SUM(N35:N36)</f>
        <v>0</v>
      </c>
      <c r="O37" s="74">
        <f>SUM(O35:O36)</f>
        <v>10150</v>
      </c>
      <c r="P37" s="86">
        <f t="shared" si="12"/>
        <v>-10150</v>
      </c>
      <c r="Q37" s="76">
        <f>SUM(Q35:Q36)</f>
        <v>2000</v>
      </c>
    </row>
    <row r="38" spans="1:17" x14ac:dyDescent="0.3">
      <c r="A38" s="1"/>
      <c r="B38" s="1" t="s">
        <v>41</v>
      </c>
      <c r="C38" s="1"/>
      <c r="D38" s="1"/>
      <c r="E38" s="7"/>
      <c r="F38" s="4"/>
      <c r="G38" s="23"/>
      <c r="H38" s="67"/>
      <c r="I38" s="68"/>
      <c r="J38" s="69"/>
      <c r="K38" s="70"/>
      <c r="L38" s="71"/>
      <c r="M38" s="72"/>
      <c r="N38" s="73"/>
      <c r="O38" s="74"/>
      <c r="P38" s="74"/>
      <c r="Q38" s="76"/>
    </row>
    <row r="39" spans="1:17" x14ac:dyDescent="0.3">
      <c r="A39" s="1"/>
      <c r="B39" s="1"/>
      <c r="C39" s="1" t="s">
        <v>42</v>
      </c>
      <c r="D39" s="1"/>
      <c r="E39" s="7">
        <v>365</v>
      </c>
      <c r="F39" s="4">
        <v>10000</v>
      </c>
      <c r="G39" s="23" t="e">
        <f>ROUND(IF(#REF!=0, IF(#REF!=0, 0, 1),#REF! /#REF!),5)</f>
        <v>#REF!</v>
      </c>
      <c r="H39" s="67">
        <v>3301.74</v>
      </c>
      <c r="I39" s="68">
        <v>7000</v>
      </c>
      <c r="J39" s="69">
        <f t="shared" ref="J39:J79" si="13">+H39-I39</f>
        <v>-3698.26</v>
      </c>
      <c r="K39" s="70">
        <v>0</v>
      </c>
      <c r="L39" s="71">
        <v>4000</v>
      </c>
      <c r="M39" s="72">
        <f t="shared" ref="M39:M41" si="14">+K39-L39</f>
        <v>-4000</v>
      </c>
      <c r="N39" s="73">
        <v>0</v>
      </c>
      <c r="O39" s="74">
        <v>4000</v>
      </c>
      <c r="P39" s="74">
        <f t="shared" ref="P39:P42" si="15">+N39-O39</f>
        <v>-4000</v>
      </c>
      <c r="Q39" s="76">
        <v>4000</v>
      </c>
    </row>
    <row r="40" spans="1:17" x14ac:dyDescent="0.3">
      <c r="A40" s="1"/>
      <c r="B40" s="1"/>
      <c r="C40" s="1" t="s">
        <v>43</v>
      </c>
      <c r="D40" s="1"/>
      <c r="E40" s="7">
        <v>217.5</v>
      </c>
      <c r="F40" s="4">
        <v>0</v>
      </c>
      <c r="G40" s="23" t="e">
        <f>ROUND(IF(#REF!=0, IF(#REF!=0, 0, 1),#REF! /#REF!),5)</f>
        <v>#REF!</v>
      </c>
      <c r="H40" s="67">
        <v>0</v>
      </c>
      <c r="I40" s="68">
        <v>300</v>
      </c>
      <c r="J40" s="69">
        <f t="shared" si="13"/>
        <v>-300</v>
      </c>
      <c r="K40" s="70">
        <v>0</v>
      </c>
      <c r="L40" s="71">
        <v>300</v>
      </c>
      <c r="M40" s="72">
        <f t="shared" si="14"/>
        <v>-300</v>
      </c>
      <c r="N40" s="73">
        <v>0</v>
      </c>
      <c r="O40" s="74">
        <v>300</v>
      </c>
      <c r="P40" s="74">
        <f t="shared" si="15"/>
        <v>-300</v>
      </c>
      <c r="Q40" s="76">
        <v>0</v>
      </c>
    </row>
    <row r="41" spans="1:17" ht="15" thickBot="1" x14ac:dyDescent="0.35">
      <c r="A41" s="1"/>
      <c r="B41" s="1"/>
      <c r="C41" s="1" t="s">
        <v>44</v>
      </c>
      <c r="D41" s="1"/>
      <c r="E41" s="8"/>
      <c r="F41" s="3"/>
      <c r="G41" s="24" t="e">
        <f>ROUND(IF(#REF!=0, IF(#REF!=0, 0, 1),#REF! /#REF!),5)</f>
        <v>#REF!</v>
      </c>
      <c r="H41" s="77">
        <v>0</v>
      </c>
      <c r="I41" s="78">
        <v>0</v>
      </c>
      <c r="J41" s="79">
        <f t="shared" si="13"/>
        <v>0</v>
      </c>
      <c r="K41" s="80">
        <v>0</v>
      </c>
      <c r="L41" s="81">
        <v>0</v>
      </c>
      <c r="M41" s="82">
        <f t="shared" si="14"/>
        <v>0</v>
      </c>
      <c r="N41" s="83">
        <v>0</v>
      </c>
      <c r="O41" s="84"/>
      <c r="P41" s="84">
        <f t="shared" si="15"/>
        <v>0</v>
      </c>
      <c r="Q41" s="85"/>
    </row>
    <row r="42" spans="1:17" x14ac:dyDescent="0.3">
      <c r="A42" s="1"/>
      <c r="B42" s="1" t="s">
        <v>45</v>
      </c>
      <c r="C42" s="1"/>
      <c r="D42" s="1"/>
      <c r="E42" s="7">
        <f>ROUND(SUM(E38:E40),5)</f>
        <v>582.5</v>
      </c>
      <c r="F42" s="4">
        <f>ROUND(SUM(F38:F40),5)</f>
        <v>10000</v>
      </c>
      <c r="G42" s="23" t="e">
        <f>ROUND(IF(#REF!=0, IF(#REF!=0, 0, 1),#REF! /#REF!),5)</f>
        <v>#REF!</v>
      </c>
      <c r="H42" s="67">
        <f>SUM(H39:H41)</f>
        <v>3301.74</v>
      </c>
      <c r="I42" s="68">
        <f>SUM(I39:I41)</f>
        <v>7300</v>
      </c>
      <c r="J42" s="69">
        <f t="shared" si="13"/>
        <v>-3998.26</v>
      </c>
      <c r="K42" s="70">
        <f>SUM(K39:K41)</f>
        <v>0</v>
      </c>
      <c r="L42" s="71">
        <f>SUM(L39:L41)</f>
        <v>4300</v>
      </c>
      <c r="M42" s="72">
        <f>SUM(M39:M41)</f>
        <v>-4300</v>
      </c>
      <c r="N42" s="73">
        <f>SUM(N39:N41)</f>
        <v>0</v>
      </c>
      <c r="O42" s="74">
        <f>SUM(O39:O41)</f>
        <v>4300</v>
      </c>
      <c r="P42" s="86">
        <f t="shared" si="15"/>
        <v>-4300</v>
      </c>
      <c r="Q42" s="76">
        <f>SUM(Q39:Q41)</f>
        <v>4000</v>
      </c>
    </row>
    <row r="43" spans="1:17" x14ac:dyDescent="0.3">
      <c r="A43" s="1"/>
      <c r="B43" s="1" t="s">
        <v>46</v>
      </c>
      <c r="C43" s="1"/>
      <c r="D43" s="1"/>
      <c r="E43" s="7"/>
      <c r="F43" s="4"/>
      <c r="G43" s="23"/>
      <c r="H43" s="67"/>
      <c r="I43" s="68"/>
      <c r="J43" s="69"/>
      <c r="K43" s="70"/>
      <c r="L43" s="71"/>
      <c r="M43" s="72"/>
      <c r="N43" s="73"/>
      <c r="O43" s="74"/>
      <c r="P43" s="74"/>
      <c r="Q43" s="76"/>
    </row>
    <row r="44" spans="1:17" x14ac:dyDescent="0.3">
      <c r="A44" s="1"/>
      <c r="B44" s="1"/>
      <c r="C44" s="1" t="s">
        <v>47</v>
      </c>
      <c r="D44" s="1"/>
      <c r="E44" s="7">
        <v>120000</v>
      </c>
      <c r="F44" s="4">
        <v>120000</v>
      </c>
      <c r="G44" s="23" t="e">
        <f>ROUND(IF(#REF!=0, IF(#REF!=0, 0, 1),#REF! /#REF!),5)</f>
        <v>#REF!</v>
      </c>
      <c r="H44" s="67">
        <v>130000</v>
      </c>
      <c r="I44" s="68">
        <v>120000</v>
      </c>
      <c r="J44" s="69">
        <f t="shared" si="13"/>
        <v>10000</v>
      </c>
      <c r="K44" s="70">
        <v>120000</v>
      </c>
      <c r="L44" s="71">
        <v>129456</v>
      </c>
      <c r="M44" s="72">
        <f t="shared" ref="M44:M49" si="16">+K44-L44</f>
        <v>-9456</v>
      </c>
      <c r="N44" s="73">
        <v>60000</v>
      </c>
      <c r="O44" s="74">
        <v>129450</v>
      </c>
      <c r="P44" s="74">
        <f t="shared" ref="P44:P50" si="17">+N44-O44</f>
        <v>-69450</v>
      </c>
      <c r="Q44" s="76">
        <v>129450</v>
      </c>
    </row>
    <row r="45" spans="1:17" x14ac:dyDescent="0.3">
      <c r="A45" s="1"/>
      <c r="B45" s="1"/>
      <c r="C45" s="1" t="s">
        <v>48</v>
      </c>
      <c r="D45" s="1"/>
      <c r="E45" s="7">
        <v>0</v>
      </c>
      <c r="F45" s="4">
        <v>1000</v>
      </c>
      <c r="G45" s="23" t="e">
        <f>ROUND(IF(#REF!=0, IF(#REF!=0, 0, 1),#REF! /#REF!),5)</f>
        <v>#REF!</v>
      </c>
      <c r="H45" s="67">
        <v>0</v>
      </c>
      <c r="I45" s="68">
        <v>250</v>
      </c>
      <c r="J45" s="69">
        <f t="shared" si="13"/>
        <v>-250</v>
      </c>
      <c r="K45" s="70">
        <v>0</v>
      </c>
      <c r="L45" s="71">
        <v>100</v>
      </c>
      <c r="M45" s="72">
        <f t="shared" si="16"/>
        <v>-100</v>
      </c>
      <c r="N45" s="73">
        <v>0</v>
      </c>
      <c r="O45" s="74">
        <v>100</v>
      </c>
      <c r="P45" s="74">
        <f t="shared" si="17"/>
        <v>-100</v>
      </c>
      <c r="Q45" s="76">
        <v>100</v>
      </c>
    </row>
    <row r="46" spans="1:17" x14ac:dyDescent="0.3">
      <c r="A46" s="1"/>
      <c r="B46" s="1"/>
      <c r="C46" s="1" t="s">
        <v>49</v>
      </c>
      <c r="D46" s="1"/>
      <c r="E46" s="7">
        <v>14376.84</v>
      </c>
      <c r="F46" s="4">
        <v>8000</v>
      </c>
      <c r="G46" s="23" t="e">
        <f>ROUND(IF(#REF!=0, IF(#REF!=0, 0, 1),#REF! /#REF!),5)</f>
        <v>#REF!</v>
      </c>
      <c r="H46" s="67">
        <v>0</v>
      </c>
      <c r="I46" s="68">
        <v>3000</v>
      </c>
      <c r="J46" s="69">
        <f t="shared" si="13"/>
        <v>-3000</v>
      </c>
      <c r="K46" s="70">
        <v>6997.67</v>
      </c>
      <c r="L46" s="71">
        <v>5000</v>
      </c>
      <c r="M46" s="72">
        <f t="shared" si="16"/>
        <v>1997.67</v>
      </c>
      <c r="N46" s="73">
        <v>0</v>
      </c>
      <c r="O46" s="74">
        <v>8000</v>
      </c>
      <c r="P46" s="74">
        <f t="shared" si="17"/>
        <v>-8000</v>
      </c>
      <c r="Q46" s="76">
        <v>8000</v>
      </c>
    </row>
    <row r="47" spans="1:17" x14ac:dyDescent="0.3">
      <c r="A47" s="1"/>
      <c r="B47" s="1"/>
      <c r="C47" s="1" t="s">
        <v>50</v>
      </c>
      <c r="D47" s="1"/>
      <c r="E47" s="7">
        <v>8960.16</v>
      </c>
      <c r="F47" s="4">
        <v>7500</v>
      </c>
      <c r="G47" s="23" t="e">
        <f>ROUND(IF(#REF!=0, IF(#REF!=0, 0, 1),#REF! /#REF!),5)</f>
        <v>#REF!</v>
      </c>
      <c r="H47" s="67">
        <v>8050</v>
      </c>
      <c r="I47" s="68">
        <v>10000</v>
      </c>
      <c r="J47" s="69">
        <f t="shared" si="13"/>
        <v>-1950</v>
      </c>
      <c r="K47" s="70">
        <v>0</v>
      </c>
      <c r="L47" s="71">
        <v>10000</v>
      </c>
      <c r="M47" s="72">
        <f t="shared" si="16"/>
        <v>-10000</v>
      </c>
      <c r="N47" s="73">
        <v>0</v>
      </c>
      <c r="O47" s="74"/>
      <c r="P47" s="74">
        <f t="shared" si="17"/>
        <v>0</v>
      </c>
      <c r="Q47" s="76"/>
    </row>
    <row r="48" spans="1:17" x14ac:dyDescent="0.3">
      <c r="A48" s="1"/>
      <c r="B48" s="1"/>
      <c r="C48" s="1" t="s">
        <v>51</v>
      </c>
      <c r="D48" s="1"/>
      <c r="E48" s="7"/>
      <c r="F48" s="4"/>
      <c r="G48" s="23"/>
      <c r="H48" s="67">
        <v>1600</v>
      </c>
      <c r="I48" s="68">
        <v>0</v>
      </c>
      <c r="J48" s="69">
        <f t="shared" si="13"/>
        <v>1600</v>
      </c>
      <c r="K48" s="70">
        <v>1200</v>
      </c>
      <c r="L48" s="71">
        <v>800</v>
      </c>
      <c r="M48" s="72">
        <f t="shared" si="16"/>
        <v>400</v>
      </c>
      <c r="N48" s="73">
        <v>400</v>
      </c>
      <c r="O48" s="74">
        <v>800</v>
      </c>
      <c r="P48" s="74">
        <f t="shared" si="17"/>
        <v>-400</v>
      </c>
      <c r="Q48" s="76">
        <v>1200</v>
      </c>
    </row>
    <row r="49" spans="1:19" ht="15" thickBot="1" x14ac:dyDescent="0.35">
      <c r="A49" s="1"/>
      <c r="B49" s="1"/>
      <c r="C49" s="1" t="s">
        <v>52</v>
      </c>
      <c r="D49" s="1"/>
      <c r="E49" s="8">
        <v>1866.29</v>
      </c>
      <c r="F49" s="3"/>
      <c r="G49" s="24" t="e">
        <f>ROUND(IF(#REF!=0, IF(#REF!=0, 0, 1),#REF! /#REF!),5)</f>
        <v>#REF!</v>
      </c>
      <c r="H49" s="77">
        <v>0</v>
      </c>
      <c r="I49" s="78">
        <v>0</v>
      </c>
      <c r="J49" s="79">
        <f t="shared" si="13"/>
        <v>0</v>
      </c>
      <c r="K49" s="80">
        <v>0</v>
      </c>
      <c r="L49" s="81">
        <v>0</v>
      </c>
      <c r="M49" s="82">
        <f t="shared" si="16"/>
        <v>0</v>
      </c>
      <c r="N49" s="83"/>
      <c r="O49" s="84">
        <v>0</v>
      </c>
      <c r="P49" s="84">
        <f t="shared" si="17"/>
        <v>0</v>
      </c>
      <c r="Q49" s="85">
        <v>0</v>
      </c>
    </row>
    <row r="50" spans="1:19" x14ac:dyDescent="0.3">
      <c r="A50" s="1"/>
      <c r="B50" s="1" t="s">
        <v>53</v>
      </c>
      <c r="C50" s="1"/>
      <c r="D50" s="1"/>
      <c r="E50" s="7">
        <f>ROUND(SUM(E43:E49),5)</f>
        <v>145203.29</v>
      </c>
      <c r="F50" s="4">
        <f>ROUND(SUM(F43:F49),5)</f>
        <v>136500</v>
      </c>
      <c r="G50" s="23" t="e">
        <f>SUM(G44:G49)</f>
        <v>#REF!</v>
      </c>
      <c r="H50" s="67">
        <f>SUM(H44:H49)</f>
        <v>139650</v>
      </c>
      <c r="I50" s="68">
        <f>ROUND(SUM(I43:I49),5)</f>
        <v>133250</v>
      </c>
      <c r="J50" s="69">
        <f t="shared" si="13"/>
        <v>6400</v>
      </c>
      <c r="K50" s="70">
        <f>SUM(K44:K49)</f>
        <v>128197.67</v>
      </c>
      <c r="L50" s="71">
        <f>SUM(L44:L49)</f>
        <v>145356</v>
      </c>
      <c r="M50" s="72">
        <f>SUM(M44:M49)</f>
        <v>-17158.330000000002</v>
      </c>
      <c r="N50" s="73">
        <f>SUM(N44:N49)</f>
        <v>60400</v>
      </c>
      <c r="O50" s="74">
        <f>SUM(O44:O49)</f>
        <v>138350</v>
      </c>
      <c r="P50" s="86">
        <f t="shared" si="17"/>
        <v>-77950</v>
      </c>
      <c r="Q50" s="76">
        <f>SUM(Q44:Q49)</f>
        <v>138750</v>
      </c>
    </row>
    <row r="51" spans="1:19" x14ac:dyDescent="0.3">
      <c r="A51" s="1"/>
      <c r="B51" s="1" t="s">
        <v>54</v>
      </c>
      <c r="C51" s="1"/>
      <c r="D51" s="1"/>
      <c r="E51" s="7"/>
      <c r="F51" s="4"/>
      <c r="G51" s="23"/>
      <c r="H51" s="67"/>
      <c r="I51" s="68"/>
      <c r="J51" s="69"/>
      <c r="K51" s="70"/>
      <c r="L51" s="71"/>
      <c r="M51" s="72"/>
      <c r="N51" s="73"/>
      <c r="O51" s="74"/>
      <c r="P51" s="74"/>
      <c r="Q51" s="76"/>
    </row>
    <row r="52" spans="1:19" ht="15" thickBot="1" x14ac:dyDescent="0.35">
      <c r="A52" s="1"/>
      <c r="B52" s="1"/>
      <c r="C52" s="1" t="s">
        <v>55</v>
      </c>
      <c r="D52" s="1"/>
      <c r="E52" s="8">
        <v>60000</v>
      </c>
      <c r="F52" s="3">
        <v>60000</v>
      </c>
      <c r="G52" s="24" t="e">
        <f>ROUND(IF(#REF!=0, IF(#REF!=0, 0, 1),#REF! /#REF!),5)</f>
        <v>#REF!</v>
      </c>
      <c r="H52" s="77">
        <v>65000</v>
      </c>
      <c r="I52" s="78">
        <v>60000</v>
      </c>
      <c r="J52" s="79">
        <f t="shared" si="13"/>
        <v>5000</v>
      </c>
      <c r="K52" s="80">
        <v>60000</v>
      </c>
      <c r="L52" s="81">
        <v>60000</v>
      </c>
      <c r="M52" s="82">
        <f>+K52-L52</f>
        <v>0</v>
      </c>
      <c r="N52" s="83">
        <v>30000</v>
      </c>
      <c r="O52" s="84">
        <v>60000</v>
      </c>
      <c r="P52" s="84">
        <f t="shared" ref="P52:P53" si="18">+N52-O52</f>
        <v>-30000</v>
      </c>
      <c r="Q52" s="85">
        <v>60000</v>
      </c>
      <c r="S52" s="14"/>
    </row>
    <row r="53" spans="1:19" x14ac:dyDescent="0.3">
      <c r="A53" s="1"/>
      <c r="B53" s="1" t="s">
        <v>56</v>
      </c>
      <c r="C53" s="1"/>
      <c r="D53" s="1"/>
      <c r="E53" s="7">
        <f>ROUND(SUM(E51:E52),5)</f>
        <v>60000</v>
      </c>
      <c r="F53" s="4">
        <f>ROUND(SUM(F51:F52),5)</f>
        <v>60000</v>
      </c>
      <c r="G53" s="23" t="e">
        <f>ROUND(IF(#REF!=0, IF(#REF!=0, 0, 1),#REF! /#REF!),5)</f>
        <v>#REF!</v>
      </c>
      <c r="H53" s="67">
        <f>SUM(H52)</f>
        <v>65000</v>
      </c>
      <c r="I53" s="68">
        <f>ROUND(SUM(I51:I52),5)</f>
        <v>60000</v>
      </c>
      <c r="J53" s="69">
        <f t="shared" si="13"/>
        <v>5000</v>
      </c>
      <c r="K53" s="70">
        <f>SUM(K52)</f>
        <v>60000</v>
      </c>
      <c r="L53" s="71">
        <f>SUM(L52)</f>
        <v>60000</v>
      </c>
      <c r="M53" s="72">
        <f>SUM(M52)</f>
        <v>0</v>
      </c>
      <c r="N53" s="73">
        <f>SUM(N52)</f>
        <v>30000</v>
      </c>
      <c r="O53" s="74">
        <f>SUM(O52)</f>
        <v>60000</v>
      </c>
      <c r="P53" s="86">
        <f t="shared" si="18"/>
        <v>-30000</v>
      </c>
      <c r="Q53" s="76">
        <f>SUM(Q52)</f>
        <v>60000</v>
      </c>
    </row>
    <row r="54" spans="1:19" x14ac:dyDescent="0.3">
      <c r="A54" s="1"/>
      <c r="B54" s="1" t="s">
        <v>57</v>
      </c>
      <c r="C54" s="1"/>
      <c r="D54" s="1"/>
      <c r="E54" s="7"/>
      <c r="F54" s="4"/>
      <c r="G54" s="23" t="e">
        <f>ROUND(IF(#REF!=0, IF(#REF!=0, 0, 1),#REF! /#REF!),5)</f>
        <v>#REF!</v>
      </c>
      <c r="H54" s="67"/>
      <c r="I54" s="68"/>
      <c r="J54" s="69"/>
      <c r="K54" s="70"/>
      <c r="L54" s="71"/>
      <c r="M54" s="72"/>
      <c r="N54" s="73"/>
      <c r="O54" s="74"/>
      <c r="P54" s="74"/>
      <c r="Q54" s="76"/>
    </row>
    <row r="55" spans="1:19" x14ac:dyDescent="0.3">
      <c r="A55" s="1"/>
      <c r="B55" s="1"/>
      <c r="C55" s="1" t="s">
        <v>58</v>
      </c>
      <c r="D55" s="1"/>
      <c r="E55" s="7">
        <v>124800</v>
      </c>
      <c r="F55" s="4">
        <v>124800</v>
      </c>
      <c r="G55" s="23" t="e">
        <f>ROUND(IF(#REF!=0, IF(#REF!=0, 0, 1),#REF! /#REF!),5)</f>
        <v>#REF!</v>
      </c>
      <c r="H55" s="67">
        <v>127296</v>
      </c>
      <c r="I55" s="68">
        <v>127296</v>
      </c>
      <c r="J55" s="69">
        <f t="shared" si="13"/>
        <v>0</v>
      </c>
      <c r="K55" s="70">
        <v>127296</v>
      </c>
      <c r="L55" s="71">
        <v>129600</v>
      </c>
      <c r="M55" s="72">
        <f t="shared" ref="M55:M73" si="19">+K55-L55</f>
        <v>-2304</v>
      </c>
      <c r="N55" s="73">
        <v>65368</v>
      </c>
      <c r="O55" s="74">
        <v>132432</v>
      </c>
      <c r="P55" s="74">
        <f t="shared" ref="P55:P74" si="20">+N55-O55</f>
        <v>-67064</v>
      </c>
      <c r="Q55" s="76">
        <v>158916</v>
      </c>
      <c r="R55" t="s">
        <v>186</v>
      </c>
    </row>
    <row r="56" spans="1:19" x14ac:dyDescent="0.3">
      <c r="A56" s="1"/>
      <c r="B56" s="1"/>
      <c r="C56" s="1" t="s">
        <v>191</v>
      </c>
      <c r="D56" s="1"/>
      <c r="E56" s="7">
        <v>60000</v>
      </c>
      <c r="F56" s="4">
        <v>60000</v>
      </c>
      <c r="G56" s="23" t="e">
        <f>ROUND(IF(#REF!=0, IF(#REF!=0, 0, 1),#REF! /#REF!),5)</f>
        <v>#REF!</v>
      </c>
      <c r="H56" s="67">
        <v>65000</v>
      </c>
      <c r="I56" s="68">
        <v>60000</v>
      </c>
      <c r="J56" s="69">
        <f t="shared" si="13"/>
        <v>5000</v>
      </c>
      <c r="K56" s="70">
        <v>60506.89</v>
      </c>
      <c r="L56" s="71">
        <v>60000</v>
      </c>
      <c r="M56" s="72">
        <f t="shared" si="19"/>
        <v>506.88999999999942</v>
      </c>
      <c r="N56" s="73">
        <v>30000</v>
      </c>
      <c r="O56" s="74">
        <v>60000</v>
      </c>
      <c r="P56" s="74">
        <f t="shared" si="20"/>
        <v>-30000</v>
      </c>
      <c r="Q56" s="76">
        <v>72000</v>
      </c>
      <c r="R56" t="s">
        <v>205</v>
      </c>
    </row>
    <row r="57" spans="1:19" x14ac:dyDescent="0.3">
      <c r="A57" s="1"/>
      <c r="B57" s="1"/>
      <c r="C57" s="1" t="s">
        <v>59</v>
      </c>
      <c r="D57" s="1"/>
      <c r="E57" s="7">
        <v>0</v>
      </c>
      <c r="F57" s="4">
        <v>5000</v>
      </c>
      <c r="G57" s="23" t="e">
        <f>ROUND(IF(#REF!=0, IF(#REF!=0, 0, 1),#REF! /#REF!),5)</f>
        <v>#REF!</v>
      </c>
      <c r="H57" s="67">
        <v>0</v>
      </c>
      <c r="I57" s="68">
        <v>0</v>
      </c>
      <c r="J57" s="69">
        <f t="shared" si="13"/>
        <v>0</v>
      </c>
      <c r="K57" s="70">
        <v>3070</v>
      </c>
      <c r="L57" s="71"/>
      <c r="M57" s="72">
        <f t="shared" si="19"/>
        <v>3070</v>
      </c>
      <c r="N57" s="73">
        <v>400</v>
      </c>
      <c r="O57" s="74">
        <v>10000</v>
      </c>
      <c r="P57" s="74">
        <f t="shared" si="20"/>
        <v>-9600</v>
      </c>
      <c r="Q57" s="76">
        <v>10000</v>
      </c>
    </row>
    <row r="58" spans="1:19" x14ac:dyDescent="0.3">
      <c r="A58" s="1"/>
      <c r="B58" s="1"/>
      <c r="C58" s="1" t="s">
        <v>60</v>
      </c>
      <c r="D58" s="1"/>
      <c r="E58" s="7">
        <v>3326</v>
      </c>
      <c r="F58" s="4">
        <v>4000</v>
      </c>
      <c r="G58" s="23" t="e">
        <f>ROUND(IF(#REF!=0, IF(#REF!=0, 0, 1),#REF! /#REF!),5)</f>
        <v>#REF!</v>
      </c>
      <c r="H58" s="67">
        <v>3094</v>
      </c>
      <c r="I58" s="68">
        <v>2500</v>
      </c>
      <c r="J58" s="69">
        <f t="shared" si="13"/>
        <v>594</v>
      </c>
      <c r="K58" s="70">
        <v>3387</v>
      </c>
      <c r="L58" s="71">
        <v>3500</v>
      </c>
      <c r="M58" s="72">
        <f t="shared" si="19"/>
        <v>-113</v>
      </c>
      <c r="N58" s="73">
        <v>1395</v>
      </c>
      <c r="O58" s="74">
        <v>3500</v>
      </c>
      <c r="P58" s="74">
        <f t="shared" si="20"/>
        <v>-2105</v>
      </c>
      <c r="Q58" s="76">
        <v>4000</v>
      </c>
    </row>
    <row r="59" spans="1:19" x14ac:dyDescent="0.3">
      <c r="A59" s="1"/>
      <c r="B59" s="1"/>
      <c r="C59" s="1" t="s">
        <v>61</v>
      </c>
      <c r="D59" s="1"/>
      <c r="E59" s="7">
        <v>10195.120000000001</v>
      </c>
      <c r="F59" s="4">
        <v>6500</v>
      </c>
      <c r="G59" s="23" t="e">
        <f>ROUND(IF(#REF!=0, IF(#REF!=0, 0, 1),#REF! /#REF!),5)</f>
        <v>#REF!</v>
      </c>
      <c r="H59" s="67">
        <v>8416.57</v>
      </c>
      <c r="I59" s="68">
        <v>3240</v>
      </c>
      <c r="J59" s="69">
        <f t="shared" si="13"/>
        <v>5176.57</v>
      </c>
      <c r="K59" s="70">
        <v>10338.719999999999</v>
      </c>
      <c r="L59" s="71">
        <v>5000</v>
      </c>
      <c r="M59" s="72">
        <f t="shared" si="19"/>
        <v>5338.7199999999993</v>
      </c>
      <c r="N59" s="73">
        <v>6623.69</v>
      </c>
      <c r="O59" s="74">
        <v>3240</v>
      </c>
      <c r="P59" s="74">
        <f t="shared" si="20"/>
        <v>3383.6899999999996</v>
      </c>
      <c r="Q59" s="76">
        <v>10000</v>
      </c>
    </row>
    <row r="60" spans="1:19" x14ac:dyDescent="0.3">
      <c r="A60" s="1"/>
      <c r="B60" s="1"/>
      <c r="C60" s="1" t="s">
        <v>62</v>
      </c>
      <c r="D60" s="1"/>
      <c r="E60" s="7">
        <v>9291.11</v>
      </c>
      <c r="F60" s="4">
        <v>8000</v>
      </c>
      <c r="G60" s="23" t="e">
        <f>ROUND(IF(#REF!=0, IF(#REF!=0, 0, 1),#REF! /#REF!),5)</f>
        <v>#REF!</v>
      </c>
      <c r="H60" s="67">
        <v>11600</v>
      </c>
      <c r="I60" s="68">
        <v>9000</v>
      </c>
      <c r="J60" s="69">
        <f t="shared" si="13"/>
        <v>2600</v>
      </c>
      <c r="K60" s="70">
        <v>17500</v>
      </c>
      <c r="L60" s="71">
        <v>11600</v>
      </c>
      <c r="M60" s="72">
        <f t="shared" si="19"/>
        <v>5900</v>
      </c>
      <c r="N60" s="73">
        <v>23100</v>
      </c>
      <c r="O60" s="74">
        <v>17500</v>
      </c>
      <c r="P60" s="74">
        <f t="shared" si="20"/>
        <v>5600</v>
      </c>
      <c r="Q60" s="76">
        <v>23000</v>
      </c>
    </row>
    <row r="61" spans="1:19" x14ac:dyDescent="0.3">
      <c r="A61" s="1"/>
      <c r="B61" s="1"/>
      <c r="C61" s="1" t="s">
        <v>192</v>
      </c>
      <c r="D61" s="1"/>
      <c r="E61" s="7">
        <v>1354.83</v>
      </c>
      <c r="F61" s="4">
        <v>1500</v>
      </c>
      <c r="G61" s="23" t="e">
        <f>ROUND(IF(#REF!=0, IF(#REF!=0, 0, 1),#REF! /#REF!),5)</f>
        <v>#REF!</v>
      </c>
      <c r="H61" s="67">
        <v>720</v>
      </c>
      <c r="I61" s="68">
        <v>1000</v>
      </c>
      <c r="J61" s="69">
        <f t="shared" si="13"/>
        <v>-280</v>
      </c>
      <c r="K61" s="70">
        <v>720</v>
      </c>
      <c r="L61" s="71">
        <v>750</v>
      </c>
      <c r="M61" s="72">
        <f t="shared" si="19"/>
        <v>-30</v>
      </c>
      <c r="N61" s="73">
        <v>360</v>
      </c>
      <c r="O61" s="74">
        <v>500</v>
      </c>
      <c r="P61" s="74">
        <f t="shared" si="20"/>
        <v>-140</v>
      </c>
      <c r="Q61" s="76">
        <v>750</v>
      </c>
    </row>
    <row r="62" spans="1:19" x14ac:dyDescent="0.3">
      <c r="A62" s="1"/>
      <c r="B62" s="1"/>
      <c r="C62" s="1" t="s">
        <v>63</v>
      </c>
      <c r="D62" s="1"/>
      <c r="E62" s="7">
        <v>741.76</v>
      </c>
      <c r="F62" s="4">
        <v>1200</v>
      </c>
      <c r="G62" s="23" t="e">
        <f>ROUND(IF(#REF!=0, IF(#REF!=0, 0, 1),#REF! /#REF!),5)</f>
        <v>#REF!</v>
      </c>
      <c r="H62" s="67">
        <v>342.65</v>
      </c>
      <c r="I62" s="68">
        <v>1000</v>
      </c>
      <c r="J62" s="69">
        <f t="shared" si="13"/>
        <v>-657.35</v>
      </c>
      <c r="K62" s="70">
        <v>788.95</v>
      </c>
      <c r="L62" s="71">
        <v>750</v>
      </c>
      <c r="M62" s="72">
        <f t="shared" si="19"/>
        <v>38.950000000000045</v>
      </c>
      <c r="N62" s="73">
        <v>154.6</v>
      </c>
      <c r="O62" s="74">
        <v>750</v>
      </c>
      <c r="P62" s="74">
        <f t="shared" si="20"/>
        <v>-595.4</v>
      </c>
      <c r="Q62" s="76">
        <v>500</v>
      </c>
    </row>
    <row r="63" spans="1:19" x14ac:dyDescent="0.3">
      <c r="A63" s="1"/>
      <c r="B63" s="1"/>
      <c r="C63" s="1" t="s">
        <v>193</v>
      </c>
      <c r="D63" s="1"/>
      <c r="E63" s="7">
        <v>0</v>
      </c>
      <c r="F63" s="4">
        <v>500</v>
      </c>
      <c r="G63" s="23" t="e">
        <f>ROUND(IF(#REF!=0, IF(#REF!=0, 0, 1),#REF! /#REF!),5)</f>
        <v>#REF!</v>
      </c>
      <c r="H63" s="67">
        <v>1350</v>
      </c>
      <c r="I63" s="68">
        <v>525</v>
      </c>
      <c r="J63" s="69">
        <f t="shared" si="13"/>
        <v>825</v>
      </c>
      <c r="K63" s="70">
        <v>675</v>
      </c>
      <c r="L63" s="71">
        <v>675</v>
      </c>
      <c r="M63" s="72">
        <f t="shared" si="19"/>
        <v>0</v>
      </c>
      <c r="N63" s="73">
        <v>0</v>
      </c>
      <c r="O63" s="74">
        <v>675</v>
      </c>
      <c r="P63" s="74">
        <f t="shared" si="20"/>
        <v>-675</v>
      </c>
      <c r="Q63" s="76">
        <v>675</v>
      </c>
    </row>
    <row r="64" spans="1:19" x14ac:dyDescent="0.3">
      <c r="A64" s="1"/>
      <c r="B64" s="1"/>
      <c r="C64" s="1" t="s">
        <v>64</v>
      </c>
      <c r="D64" s="1"/>
      <c r="E64" s="7">
        <v>120</v>
      </c>
      <c r="F64" s="4">
        <v>200</v>
      </c>
      <c r="G64" s="23" t="e">
        <f>ROUND(IF(#REF!=0, IF(#REF!=0, 0, 1),#REF! /#REF!),5)</f>
        <v>#REF!</v>
      </c>
      <c r="H64" s="67">
        <v>89.99</v>
      </c>
      <c r="I64" s="68">
        <v>200</v>
      </c>
      <c r="J64" s="69">
        <f t="shared" si="13"/>
        <v>-110.01</v>
      </c>
      <c r="K64" s="70">
        <v>600</v>
      </c>
      <c r="L64" s="71">
        <v>100</v>
      </c>
      <c r="M64" s="72">
        <f t="shared" si="19"/>
        <v>500</v>
      </c>
      <c r="N64" s="73">
        <v>420.9</v>
      </c>
      <c r="O64" s="74">
        <v>100</v>
      </c>
      <c r="P64" s="74">
        <f t="shared" si="20"/>
        <v>320.89999999999998</v>
      </c>
      <c r="Q64" s="76">
        <v>500</v>
      </c>
    </row>
    <row r="65" spans="1:18" x14ac:dyDescent="0.3">
      <c r="A65" s="1"/>
      <c r="B65" s="1"/>
      <c r="C65" s="1" t="s">
        <v>207</v>
      </c>
      <c r="D65" s="134"/>
      <c r="E65" s="7">
        <v>6791.88</v>
      </c>
      <c r="F65" s="4">
        <v>12000</v>
      </c>
      <c r="G65" s="23" t="e">
        <f>ROUND(IF(#REF!=0, IF(#REF!=0, 0, 1),#REF! /#REF!),5)</f>
        <v>#REF!</v>
      </c>
      <c r="H65" s="67">
        <v>1730.53</v>
      </c>
      <c r="I65" s="68">
        <v>9000</v>
      </c>
      <c r="J65" s="69">
        <f t="shared" si="13"/>
        <v>-7269.47</v>
      </c>
      <c r="K65" s="70">
        <v>14890.37</v>
      </c>
      <c r="L65" s="71">
        <v>11000</v>
      </c>
      <c r="M65" s="72">
        <f t="shared" si="19"/>
        <v>3890.3700000000008</v>
      </c>
      <c r="N65" s="73">
        <v>12716.98</v>
      </c>
      <c r="O65" s="74">
        <v>9000</v>
      </c>
      <c r="P65" s="74">
        <f t="shared" si="20"/>
        <v>3716.9799999999996</v>
      </c>
      <c r="Q65" s="76">
        <v>15000</v>
      </c>
      <c r="R65" t="s">
        <v>206</v>
      </c>
    </row>
    <row r="66" spans="1:18" x14ac:dyDescent="0.3">
      <c r="A66" s="1"/>
      <c r="B66" s="1"/>
      <c r="C66" s="1" t="s">
        <v>65</v>
      </c>
      <c r="D66" s="1"/>
      <c r="E66" s="7">
        <v>1041.5899999999999</v>
      </c>
      <c r="F66" s="4">
        <v>1000</v>
      </c>
      <c r="G66" s="23" t="e">
        <f>ROUND(IF(#REF!=0, IF(#REF!=0, 0, 1),#REF! /#REF!),5)</f>
        <v>#REF!</v>
      </c>
      <c r="H66" s="67">
        <v>280.29000000000002</v>
      </c>
      <c r="I66" s="68">
        <v>1000</v>
      </c>
      <c r="J66" s="69">
        <f t="shared" si="13"/>
        <v>-719.71</v>
      </c>
      <c r="K66" s="70">
        <v>475.82</v>
      </c>
      <c r="L66" s="71">
        <v>750</v>
      </c>
      <c r="M66" s="72">
        <f t="shared" si="19"/>
        <v>-274.18</v>
      </c>
      <c r="N66" s="73">
        <v>517.91</v>
      </c>
      <c r="O66" s="74">
        <v>500</v>
      </c>
      <c r="P66" s="74">
        <f t="shared" si="20"/>
        <v>17.909999999999968</v>
      </c>
      <c r="Q66" s="76">
        <v>500</v>
      </c>
    </row>
    <row r="67" spans="1:18" x14ac:dyDescent="0.3">
      <c r="A67" s="1"/>
      <c r="B67" s="1"/>
      <c r="C67" s="1" t="s">
        <v>66</v>
      </c>
      <c r="D67" s="1"/>
      <c r="E67" s="7">
        <v>75.930000000000007</v>
      </c>
      <c r="F67" s="4">
        <v>750</v>
      </c>
      <c r="G67" s="23" t="e">
        <f>ROUND(IF(#REF!=0, IF(#REF!=0, 0, 1),#REF! /#REF!),5)</f>
        <v>#REF!</v>
      </c>
      <c r="H67" s="67">
        <v>455.16</v>
      </c>
      <c r="I67" s="68">
        <v>500</v>
      </c>
      <c r="J67" s="69">
        <f t="shared" si="13"/>
        <v>-44.839999999999975</v>
      </c>
      <c r="K67" s="70">
        <v>74.13</v>
      </c>
      <c r="L67" s="71">
        <v>500</v>
      </c>
      <c r="M67" s="72">
        <f t="shared" si="19"/>
        <v>-425.87</v>
      </c>
      <c r="N67" s="73">
        <v>0</v>
      </c>
      <c r="O67" s="74">
        <v>500</v>
      </c>
      <c r="P67" s="74">
        <f t="shared" si="20"/>
        <v>-500</v>
      </c>
      <c r="Q67" s="76">
        <v>500</v>
      </c>
    </row>
    <row r="68" spans="1:18" x14ac:dyDescent="0.3">
      <c r="A68" s="1"/>
      <c r="B68" s="1"/>
      <c r="C68" s="1" t="s">
        <v>67</v>
      </c>
      <c r="D68" s="1"/>
      <c r="E68" s="7"/>
      <c r="F68" s="4"/>
      <c r="G68" s="23" t="e">
        <f>ROUND(IF(#REF!=0, IF(#REF!=0, 0, 1),#REF! /#REF!),5)</f>
        <v>#REF!</v>
      </c>
      <c r="H68" s="67">
        <v>79.040000000000006</v>
      </c>
      <c r="I68" s="68"/>
      <c r="J68" s="69">
        <f t="shared" si="13"/>
        <v>79.040000000000006</v>
      </c>
      <c r="K68" s="70">
        <v>0</v>
      </c>
      <c r="L68" s="71">
        <v>0</v>
      </c>
      <c r="M68" s="72">
        <f t="shared" si="19"/>
        <v>0</v>
      </c>
      <c r="N68" s="73">
        <v>0</v>
      </c>
      <c r="O68" s="74">
        <v>1000</v>
      </c>
      <c r="P68" s="74">
        <f t="shared" si="20"/>
        <v>-1000</v>
      </c>
      <c r="Q68" s="76">
        <v>0</v>
      </c>
    </row>
    <row r="69" spans="1:18" x14ac:dyDescent="0.3">
      <c r="A69" s="1"/>
      <c r="B69" s="1"/>
      <c r="C69" s="1" t="s">
        <v>68</v>
      </c>
      <c r="D69" s="1"/>
      <c r="E69" s="7">
        <v>0</v>
      </c>
      <c r="F69" s="4">
        <v>200</v>
      </c>
      <c r="G69" s="23" t="e">
        <f>ROUND(IF(#REF!=0, IF(#REF!=0, 0, 1),#REF! /#REF!),5)</f>
        <v>#REF!</v>
      </c>
      <c r="H69" s="67">
        <v>0</v>
      </c>
      <c r="I69" s="68">
        <v>200</v>
      </c>
      <c r="J69" s="69">
        <f t="shared" si="13"/>
        <v>-200</v>
      </c>
      <c r="K69" s="70">
        <v>439.27</v>
      </c>
      <c r="L69" s="71">
        <v>500</v>
      </c>
      <c r="M69" s="72">
        <f t="shared" si="19"/>
        <v>-60.730000000000018</v>
      </c>
      <c r="N69" s="73">
        <v>123.81</v>
      </c>
      <c r="O69" s="74">
        <v>500</v>
      </c>
      <c r="P69" s="74">
        <f t="shared" si="20"/>
        <v>-376.19</v>
      </c>
      <c r="Q69" s="76">
        <v>500</v>
      </c>
    </row>
    <row r="70" spans="1:18" x14ac:dyDescent="0.3">
      <c r="A70" s="1"/>
      <c r="B70" s="1"/>
      <c r="C70" s="1" t="s">
        <v>69</v>
      </c>
      <c r="D70" s="1"/>
      <c r="E70" s="7">
        <v>1702.93</v>
      </c>
      <c r="F70" s="4">
        <v>1700</v>
      </c>
      <c r="G70" s="23" t="e">
        <f>ROUND(IF(#REF!=0, IF(#REF!=0, 0, 1),#REF! /#REF!),5)</f>
        <v>#REF!</v>
      </c>
      <c r="H70" s="67">
        <v>804</v>
      </c>
      <c r="I70" s="68">
        <v>950</v>
      </c>
      <c r="J70" s="69">
        <f t="shared" si="13"/>
        <v>-146</v>
      </c>
      <c r="K70" s="70">
        <v>804</v>
      </c>
      <c r="L70" s="71">
        <v>950</v>
      </c>
      <c r="M70" s="72">
        <f t="shared" si="19"/>
        <v>-146</v>
      </c>
      <c r="N70" s="73">
        <v>402</v>
      </c>
      <c r="O70" s="74">
        <v>950</v>
      </c>
      <c r="P70" s="74">
        <f t="shared" si="20"/>
        <v>-548</v>
      </c>
      <c r="Q70" s="76">
        <v>805</v>
      </c>
    </row>
    <row r="71" spans="1:18" x14ac:dyDescent="0.3">
      <c r="A71" s="1"/>
      <c r="B71" s="1"/>
      <c r="C71" s="1" t="s">
        <v>70</v>
      </c>
      <c r="D71" s="1"/>
      <c r="E71" s="7"/>
      <c r="F71" s="4"/>
      <c r="G71" s="23"/>
      <c r="H71" s="67"/>
      <c r="I71" s="68"/>
      <c r="J71" s="69"/>
      <c r="K71" s="70">
        <v>670</v>
      </c>
      <c r="L71" s="71">
        <v>0</v>
      </c>
      <c r="M71" s="72">
        <f t="shared" si="19"/>
        <v>670</v>
      </c>
      <c r="N71" s="73">
        <v>83.75</v>
      </c>
      <c r="O71" s="74">
        <v>0</v>
      </c>
      <c r="P71" s="74">
        <f t="shared" si="20"/>
        <v>83.75</v>
      </c>
      <c r="Q71" s="76">
        <v>0</v>
      </c>
    </row>
    <row r="72" spans="1:18" x14ac:dyDescent="0.3">
      <c r="A72" s="1"/>
      <c r="B72" s="1"/>
      <c r="C72" s="1" t="s">
        <v>71</v>
      </c>
      <c r="D72" s="1"/>
      <c r="E72" s="7">
        <v>20000</v>
      </c>
      <c r="F72" s="4">
        <v>22000</v>
      </c>
      <c r="G72" s="23" t="e">
        <f>ROUND(IF(#REF!=0, IF(#REF!=0, 0, 1),#REF! /#REF!),5)</f>
        <v>#REF!</v>
      </c>
      <c r="H72" s="67">
        <v>33000</v>
      </c>
      <c r="I72" s="68">
        <v>33000</v>
      </c>
      <c r="J72" s="69">
        <f t="shared" si="13"/>
        <v>0</v>
      </c>
      <c r="K72" s="70">
        <v>20000</v>
      </c>
      <c r="L72" s="71">
        <v>10000</v>
      </c>
      <c r="M72" s="72">
        <f t="shared" si="19"/>
        <v>10000</v>
      </c>
      <c r="N72" s="73">
        <v>10000</v>
      </c>
      <c r="O72" s="74">
        <v>10000</v>
      </c>
      <c r="P72" s="74">
        <f t="shared" si="20"/>
        <v>0</v>
      </c>
      <c r="Q72" s="76">
        <v>10000</v>
      </c>
    </row>
    <row r="73" spans="1:18" ht="15" thickBot="1" x14ac:dyDescent="0.35">
      <c r="A73" s="1"/>
      <c r="B73" s="1"/>
      <c r="C73" s="1" t="s">
        <v>72</v>
      </c>
      <c r="D73" s="1"/>
      <c r="E73" s="8">
        <v>2225</v>
      </c>
      <c r="F73" s="3">
        <v>0</v>
      </c>
      <c r="G73" s="24" t="e">
        <f>ROUND(IF(#REF!=0, IF(#REF!=0, 0, 1),#REF! /#REF!),5)</f>
        <v>#REF!</v>
      </c>
      <c r="H73" s="77">
        <v>0</v>
      </c>
      <c r="I73" s="78">
        <v>0</v>
      </c>
      <c r="J73" s="79">
        <f t="shared" si="13"/>
        <v>0</v>
      </c>
      <c r="K73" s="80">
        <v>0</v>
      </c>
      <c r="L73" s="81">
        <v>0</v>
      </c>
      <c r="M73" s="82">
        <f t="shared" si="19"/>
        <v>0</v>
      </c>
      <c r="N73" s="83">
        <v>0</v>
      </c>
      <c r="O73" s="84">
        <v>0</v>
      </c>
      <c r="P73" s="84">
        <f t="shared" si="20"/>
        <v>0</v>
      </c>
      <c r="Q73" s="85">
        <v>0</v>
      </c>
    </row>
    <row r="74" spans="1:18" x14ac:dyDescent="0.3">
      <c r="A74" s="1"/>
      <c r="B74" s="1" t="s">
        <v>73</v>
      </c>
      <c r="C74" s="1"/>
      <c r="D74" s="1"/>
      <c r="E74" s="7">
        <f>ROUND(SUM(E54:E73),5)</f>
        <v>241666.15</v>
      </c>
      <c r="F74" s="4">
        <f>ROUND(SUM(F54:F73),5)</f>
        <v>249350</v>
      </c>
      <c r="G74" s="23" t="e">
        <f>ROUND(IF(#REF!=0, IF(#REF!=0, 0, 1),#REF! /#REF!),5)</f>
        <v>#REF!</v>
      </c>
      <c r="H74" s="67">
        <f>SUM(H55:H73)</f>
        <v>254258.23</v>
      </c>
      <c r="I74" s="68">
        <f>ROUND(SUM(I54:I73),5)</f>
        <v>249411</v>
      </c>
      <c r="J74" s="69">
        <f t="shared" si="13"/>
        <v>4847.2300000000105</v>
      </c>
      <c r="K74" s="70">
        <f>SUM(K55:K73)</f>
        <v>262236.15000000002</v>
      </c>
      <c r="L74" s="71">
        <f>SUM(L55:L73)</f>
        <v>235675</v>
      </c>
      <c r="M74" s="72">
        <f>SUM(M55:M73)</f>
        <v>26561.15</v>
      </c>
      <c r="N74" s="73">
        <f>SUM(N55:N73)</f>
        <v>151666.64000000001</v>
      </c>
      <c r="O74" s="74">
        <f>SUM(O55:O73)</f>
        <v>251147</v>
      </c>
      <c r="P74" s="86">
        <f t="shared" si="20"/>
        <v>-99480.359999999986</v>
      </c>
      <c r="Q74" s="76">
        <f>SUM(Q55:Q73)</f>
        <v>307646</v>
      </c>
    </row>
    <row r="75" spans="1:18" x14ac:dyDescent="0.3">
      <c r="A75" s="1"/>
      <c r="B75" s="1" t="s">
        <v>74</v>
      </c>
      <c r="C75" s="1"/>
      <c r="D75" s="1"/>
      <c r="E75" s="7"/>
      <c r="F75" s="4"/>
      <c r="G75" s="23"/>
      <c r="H75" s="67"/>
      <c r="I75" s="68"/>
      <c r="J75" s="69"/>
      <c r="K75" s="70"/>
      <c r="L75" s="71"/>
      <c r="M75" s="72"/>
      <c r="N75" s="73"/>
      <c r="O75" s="74"/>
      <c r="P75" s="74"/>
      <c r="Q75" s="76"/>
    </row>
    <row r="76" spans="1:18" x14ac:dyDescent="0.3">
      <c r="A76" s="1"/>
      <c r="B76" s="1"/>
      <c r="C76" s="1" t="s">
        <v>75</v>
      </c>
      <c r="D76" s="1"/>
      <c r="E76" s="7">
        <v>7622.88</v>
      </c>
      <c r="F76" s="4">
        <v>6500</v>
      </c>
      <c r="G76" s="23" t="e">
        <f>ROUND(IF(#REF!=0, IF(#REF!=0, 0, 1),#REF! /#REF!),5)</f>
        <v>#REF!</v>
      </c>
      <c r="H76" s="67">
        <v>7045.6</v>
      </c>
      <c r="I76" s="68">
        <v>9000</v>
      </c>
      <c r="J76" s="69">
        <f t="shared" si="13"/>
        <v>-1954.3999999999996</v>
      </c>
      <c r="K76" s="70">
        <v>8785.18</v>
      </c>
      <c r="L76" s="71">
        <v>8000</v>
      </c>
      <c r="M76" s="72">
        <f t="shared" ref="M76:M79" si="21">+K76-L76</f>
        <v>785.18000000000029</v>
      </c>
      <c r="N76" s="73">
        <v>11939.18</v>
      </c>
      <c r="O76" s="74">
        <v>9000</v>
      </c>
      <c r="P76" s="74">
        <f t="shared" ref="P76:P80" si="22">+N76-O76</f>
        <v>2939.1800000000003</v>
      </c>
      <c r="Q76" s="76">
        <v>9000</v>
      </c>
    </row>
    <row r="77" spans="1:18" x14ac:dyDescent="0.3">
      <c r="A77" s="1"/>
      <c r="B77" s="1"/>
      <c r="C77" s="1" t="s">
        <v>76</v>
      </c>
      <c r="D77" s="1"/>
      <c r="E77" s="7">
        <v>2386.1999999999998</v>
      </c>
      <c r="F77" s="4">
        <v>2000</v>
      </c>
      <c r="G77" s="23" t="e">
        <f>ROUND(IF(#REF!=0, IF(#REF!=0, 0, 1),#REF! /#REF!),5)</f>
        <v>#REF!</v>
      </c>
      <c r="H77" s="67">
        <v>3587.88</v>
      </c>
      <c r="I77" s="68">
        <v>2000</v>
      </c>
      <c r="J77" s="69">
        <f t="shared" si="13"/>
        <v>1587.88</v>
      </c>
      <c r="K77" s="70">
        <v>4158.78</v>
      </c>
      <c r="L77" s="71">
        <v>1000</v>
      </c>
      <c r="M77" s="72">
        <f t="shared" si="21"/>
        <v>3158.7799999999997</v>
      </c>
      <c r="N77" s="73">
        <v>0</v>
      </c>
      <c r="O77" s="74">
        <v>2000</v>
      </c>
      <c r="P77" s="74">
        <f t="shared" si="22"/>
        <v>-2000</v>
      </c>
      <c r="Q77" s="76">
        <v>2000</v>
      </c>
    </row>
    <row r="78" spans="1:18" x14ac:dyDescent="0.3">
      <c r="A78" s="1"/>
      <c r="B78" s="1"/>
      <c r="C78" s="1" t="s">
        <v>77</v>
      </c>
      <c r="D78" s="1"/>
      <c r="E78" s="7">
        <v>0</v>
      </c>
      <c r="F78" s="4">
        <v>200</v>
      </c>
      <c r="G78" s="27"/>
      <c r="H78" s="99">
        <v>0</v>
      </c>
      <c r="I78" s="68">
        <v>0</v>
      </c>
      <c r="J78" s="69">
        <f t="shared" si="13"/>
        <v>0</v>
      </c>
      <c r="K78" s="70">
        <v>0</v>
      </c>
      <c r="L78" s="71">
        <v>0</v>
      </c>
      <c r="M78" s="72">
        <f t="shared" si="21"/>
        <v>0</v>
      </c>
      <c r="N78" s="73">
        <v>0</v>
      </c>
      <c r="O78" s="74">
        <v>2000</v>
      </c>
      <c r="P78" s="74">
        <f t="shared" si="22"/>
        <v>-2000</v>
      </c>
      <c r="Q78" s="76">
        <v>0</v>
      </c>
    </row>
    <row r="79" spans="1:18" ht="15" thickBot="1" x14ac:dyDescent="0.35">
      <c r="A79" s="1"/>
      <c r="B79" s="1"/>
      <c r="C79" s="1" t="s">
        <v>78</v>
      </c>
      <c r="D79" s="1"/>
      <c r="E79" s="8">
        <v>3000</v>
      </c>
      <c r="F79" s="3">
        <v>3200</v>
      </c>
      <c r="G79" s="24" t="e">
        <f>ROUND(IF(#REF!=0, IF(#REF!=0, 0, 1),#REF! /#REF!),5)</f>
        <v>#REF!</v>
      </c>
      <c r="H79" s="77">
        <v>3200</v>
      </c>
      <c r="I79" s="78">
        <v>4000</v>
      </c>
      <c r="J79" s="79">
        <f t="shared" si="13"/>
        <v>-800</v>
      </c>
      <c r="K79" s="80">
        <v>6400</v>
      </c>
      <c r="L79" s="81">
        <v>3200</v>
      </c>
      <c r="M79" s="82">
        <f t="shared" si="21"/>
        <v>3200</v>
      </c>
      <c r="N79" s="83">
        <v>0</v>
      </c>
      <c r="O79" s="84">
        <v>4000</v>
      </c>
      <c r="P79" s="84">
        <f t="shared" si="22"/>
        <v>-4000</v>
      </c>
      <c r="Q79" s="85">
        <v>4000</v>
      </c>
    </row>
    <row r="80" spans="1:18" ht="15" thickBot="1" x14ac:dyDescent="0.35">
      <c r="A80" s="1"/>
      <c r="B80" s="1" t="s">
        <v>79</v>
      </c>
      <c r="C80" s="1"/>
      <c r="D80" s="1"/>
      <c r="E80" s="7">
        <f>ROUND(SUM(E75:E79),5)</f>
        <v>13009.08</v>
      </c>
      <c r="F80" s="4">
        <f>ROUND(SUM(F75:F79),5)</f>
        <v>11900</v>
      </c>
      <c r="G80" s="23" t="e">
        <f>SUM(G76:G79)</f>
        <v>#REF!</v>
      </c>
      <c r="H80" s="87">
        <f>SUM(H76:H79)</f>
        <v>13833.48</v>
      </c>
      <c r="I80" s="88">
        <f>ROUND(SUM(I75:I79),5)</f>
        <v>15000</v>
      </c>
      <c r="J80" s="89">
        <f>+H80-I80</f>
        <v>-1166.5200000000004</v>
      </c>
      <c r="K80" s="90">
        <f t="shared" ref="K80:O80" si="23">SUM(K76:K79)</f>
        <v>19343.96</v>
      </c>
      <c r="L80" s="100">
        <f t="shared" si="23"/>
        <v>12200</v>
      </c>
      <c r="M80" s="90">
        <f t="shared" si="23"/>
        <v>7143.96</v>
      </c>
      <c r="N80" s="101">
        <f>SUM(N76:N79)</f>
        <v>11939.18</v>
      </c>
      <c r="O80" s="86">
        <f t="shared" si="23"/>
        <v>17000</v>
      </c>
      <c r="P80" s="86">
        <f t="shared" si="22"/>
        <v>-5060.82</v>
      </c>
      <c r="Q80" s="91">
        <f t="shared" ref="Q80" si="24">SUM(Q76:Q79)</f>
        <v>15000</v>
      </c>
    </row>
    <row r="81" spans="1:18" ht="15" thickBot="1" x14ac:dyDescent="0.35">
      <c r="A81" s="1" t="s">
        <v>83</v>
      </c>
      <c r="B81" s="1"/>
      <c r="C81" s="1"/>
      <c r="D81" s="1"/>
      <c r="E81" s="9">
        <f>ROUND(E33+'Conventions and Meetings'!D42+E37+E42+E50+E53+E74+E80+E90,5)</f>
        <v>623957.26</v>
      </c>
      <c r="F81" s="5">
        <f>ROUND(F33+'Conventions and Meetings'!E42+F37+F42+F50+F53+F74+F80+F90,5)</f>
        <v>628150</v>
      </c>
      <c r="G81" s="24" t="e">
        <f>ROUND(IF(#REF!=0, IF(#REF!=0, 0, 1),#REF! /#REF!),5)</f>
        <v>#REF!</v>
      </c>
      <c r="H81" s="67">
        <f>+H37+H42+H50+H53+H74+H80+H90</f>
        <v>541043.44999999995</v>
      </c>
      <c r="I81" s="68">
        <f>+I37+I42+I50+I53+I74+I80+I90</f>
        <v>492111</v>
      </c>
      <c r="J81" s="69">
        <f>+J37+J42+J50+J53+J74+J80+J90</f>
        <v>48932.450000000012</v>
      </c>
      <c r="K81" s="71">
        <f>+K37+K42+K50+K53+K74+K80</f>
        <v>470330.50000000006</v>
      </c>
      <c r="L81" s="100">
        <f>+L37+L42+L50+L53+L74+L80+L90</f>
        <v>468681</v>
      </c>
      <c r="M81" s="71">
        <f>+M37+M42+M50+M53+M74+M80</f>
        <v>2649.5000000000009</v>
      </c>
      <c r="N81" s="102">
        <f>+N37+N42+N50+N53+N74+N80+N90</f>
        <v>254005.82</v>
      </c>
      <c r="O81" s="74">
        <f>+O37+O42+O50+O53+O74+O80+O90</f>
        <v>483947</v>
      </c>
      <c r="P81" s="74">
        <f t="shared" ref="P81:P82" si="25">+N81-O81</f>
        <v>-229941.18</v>
      </c>
      <c r="Q81" s="76">
        <f>+Q37+Q42+Q50+Q53+Q74+Q80</f>
        <v>527396</v>
      </c>
    </row>
    <row r="82" spans="1:18" ht="15" thickBot="1" x14ac:dyDescent="0.35">
      <c r="A82" s="1" t="s">
        <v>84</v>
      </c>
      <c r="B82" s="1"/>
      <c r="C82" s="1"/>
      <c r="D82" s="1"/>
      <c r="E82" s="12">
        <f ca="1">ROUND(E3+E32-E81,5)</f>
        <v>55097.06</v>
      </c>
      <c r="F82" s="11">
        <f ca="1">ROUND(F3+F32-F81,5)</f>
        <v>43750</v>
      </c>
      <c r="G82" s="25" t="e">
        <f>ROUND(IF(#REF!=0, IF(#REF!=0, 0, 1),#REF! /#REF!),5)</f>
        <v>#REF!</v>
      </c>
      <c r="H82" s="67">
        <f ca="1">SUM(H32-H81)</f>
        <v>-26112.969999999972</v>
      </c>
      <c r="I82" s="68">
        <f>SUM(I32-I81)</f>
        <v>19039</v>
      </c>
      <c r="J82" s="69">
        <f ca="1">SUM(J32-J81)</f>
        <v>-44151.97000000003</v>
      </c>
      <c r="K82" s="71">
        <f ca="1">+K32-K81</f>
        <v>20384.199999999953</v>
      </c>
      <c r="L82" s="100">
        <f ca="1">+L32-L81</f>
        <v>50349</v>
      </c>
      <c r="M82" s="71">
        <f>SUM(M81)</f>
        <v>2649.5000000000009</v>
      </c>
      <c r="N82" s="102">
        <f ca="1">+N31-N81</f>
        <v>269473.95</v>
      </c>
      <c r="O82" s="74">
        <f ca="1">+O32-O81</f>
        <v>29003</v>
      </c>
      <c r="P82" s="74">
        <f t="shared" ca="1" si="25"/>
        <v>240470.95</v>
      </c>
      <c r="Q82" s="76">
        <f>+Q32-Q81</f>
        <v>13554</v>
      </c>
    </row>
    <row r="83" spans="1:18" ht="15" thickBot="1" x14ac:dyDescent="0.35">
      <c r="A83" s="1"/>
      <c r="B83" s="1"/>
      <c r="C83" s="1"/>
      <c r="D83" s="1"/>
      <c r="E83" s="7"/>
      <c r="F83" s="4"/>
      <c r="G83" s="23"/>
      <c r="H83" s="67"/>
      <c r="I83" s="68"/>
      <c r="J83" s="69"/>
      <c r="K83" s="71"/>
      <c r="L83" s="100"/>
      <c r="M83" s="71"/>
      <c r="N83" s="102"/>
      <c r="O83" s="74"/>
      <c r="P83" s="74"/>
      <c r="Q83" s="76"/>
    </row>
    <row r="84" spans="1:18" ht="15" thickTop="1" x14ac:dyDescent="0.3">
      <c r="A84" s="1" t="s">
        <v>199</v>
      </c>
      <c r="B84" s="1"/>
      <c r="C84" s="1"/>
      <c r="D84" s="1"/>
      <c r="E84" s="7"/>
      <c r="F84" s="4"/>
      <c r="G84" s="23"/>
      <c r="H84" s="103"/>
      <c r="I84" s="104"/>
      <c r="J84" s="105"/>
      <c r="K84" s="106"/>
      <c r="L84" s="107"/>
      <c r="M84" s="106"/>
      <c r="N84" s="108"/>
      <c r="O84" s="109"/>
      <c r="P84" s="109"/>
      <c r="Q84" s="110"/>
    </row>
    <row r="85" spans="1:18" x14ac:dyDescent="0.3">
      <c r="A85" s="1"/>
      <c r="B85" s="1" t="s">
        <v>80</v>
      </c>
      <c r="C85" s="1"/>
      <c r="D85" s="1"/>
      <c r="E85" s="7"/>
      <c r="F85" s="4"/>
      <c r="G85" s="23" t="e">
        <f>ROUND(IF(#REF!=0, IF(#REF!=0, 0, 1),#REF! /#REF!),5)</f>
        <v>#REF!</v>
      </c>
      <c r="H85" s="67"/>
      <c r="I85" s="68"/>
      <c r="J85" s="69"/>
      <c r="K85" s="71"/>
      <c r="L85" s="100">
        <v>1000</v>
      </c>
      <c r="M85" s="71">
        <v>1000</v>
      </c>
      <c r="N85" s="102">
        <v>0</v>
      </c>
      <c r="O85" s="74">
        <v>0</v>
      </c>
      <c r="P85" s="74">
        <v>0</v>
      </c>
      <c r="Q85" s="76">
        <v>0</v>
      </c>
    </row>
    <row r="86" spans="1:18" x14ac:dyDescent="0.3">
      <c r="A86" s="1"/>
      <c r="B86" s="1"/>
      <c r="C86" s="1" t="s">
        <v>81</v>
      </c>
      <c r="D86" s="1"/>
      <c r="E86" s="7">
        <v>0</v>
      </c>
      <c r="F86" s="4">
        <v>1850</v>
      </c>
      <c r="G86" s="23" t="e">
        <f>ROUND(IF(#REF!=0, IF(#REF!=0, 0, 1),#REF! /#REF!),5)</f>
        <v>#REF!</v>
      </c>
      <c r="H86" s="67">
        <v>0</v>
      </c>
      <c r="I86" s="68">
        <v>0</v>
      </c>
      <c r="J86" s="69">
        <v>0</v>
      </c>
      <c r="K86" s="71">
        <v>0</v>
      </c>
      <c r="L86" s="100">
        <v>0</v>
      </c>
      <c r="M86" s="71">
        <v>0</v>
      </c>
      <c r="N86" s="111">
        <v>0</v>
      </c>
      <c r="O86" s="74">
        <v>0</v>
      </c>
      <c r="P86" s="74">
        <v>0</v>
      </c>
      <c r="Q86" s="76">
        <v>0</v>
      </c>
    </row>
    <row r="87" spans="1:18" x14ac:dyDescent="0.3">
      <c r="A87" s="1"/>
      <c r="B87" s="1"/>
      <c r="C87" s="1" t="s">
        <v>194</v>
      </c>
      <c r="D87" s="1"/>
      <c r="E87" s="7"/>
      <c r="F87" s="4"/>
      <c r="G87" s="23"/>
      <c r="H87" s="67">
        <v>65000</v>
      </c>
      <c r="I87" s="68">
        <v>25000</v>
      </c>
      <c r="J87" s="69">
        <f>+H87-I87</f>
        <v>40000</v>
      </c>
      <c r="K87" s="71"/>
      <c r="L87" s="100"/>
      <c r="M87" s="71"/>
      <c r="N87" s="102">
        <v>0</v>
      </c>
      <c r="O87" s="74"/>
      <c r="P87" s="74">
        <f>+N87-O87</f>
        <v>0</v>
      </c>
      <c r="Q87" s="76"/>
    </row>
    <row r="88" spans="1:18" ht="15" thickBot="1" x14ac:dyDescent="0.35">
      <c r="A88" s="1"/>
      <c r="B88" s="1"/>
      <c r="C88" s="1" t="s">
        <v>153</v>
      </c>
      <c r="E88" s="7"/>
      <c r="F88" s="4"/>
      <c r="G88" s="24"/>
      <c r="H88" s="67">
        <v>0</v>
      </c>
      <c r="I88" s="68">
        <v>0</v>
      </c>
      <c r="J88" s="69">
        <v>0</v>
      </c>
      <c r="K88" s="71">
        <v>0</v>
      </c>
      <c r="L88" s="100">
        <v>0</v>
      </c>
      <c r="M88" s="71">
        <v>0</v>
      </c>
      <c r="N88" s="102">
        <v>0</v>
      </c>
      <c r="O88" s="74">
        <v>0</v>
      </c>
      <c r="P88" s="74">
        <f>+N88-O88</f>
        <v>0</v>
      </c>
      <c r="Q88" s="76">
        <v>0</v>
      </c>
    </row>
    <row r="89" spans="1:18" ht="15" thickBot="1" x14ac:dyDescent="0.35">
      <c r="A89" s="1"/>
      <c r="B89" s="1"/>
      <c r="C89" s="1" t="s">
        <v>148</v>
      </c>
      <c r="E89" s="7"/>
      <c r="F89" s="4"/>
      <c r="G89" s="24"/>
      <c r="H89" s="67">
        <v>0</v>
      </c>
      <c r="I89" s="68">
        <v>0</v>
      </c>
      <c r="J89" s="69">
        <v>0</v>
      </c>
      <c r="K89" s="71">
        <v>0</v>
      </c>
      <c r="L89" s="100">
        <v>0</v>
      </c>
      <c r="M89" s="71">
        <v>0</v>
      </c>
      <c r="N89" s="102">
        <v>0</v>
      </c>
      <c r="O89" s="74">
        <v>3000</v>
      </c>
      <c r="P89" s="74">
        <f>+N89-O89</f>
        <v>-3000</v>
      </c>
      <c r="Q89" s="76">
        <v>50000</v>
      </c>
      <c r="R89" t="s">
        <v>264</v>
      </c>
    </row>
    <row r="90" spans="1:18" ht="15" thickBot="1" x14ac:dyDescent="0.35">
      <c r="A90" s="1"/>
      <c r="B90" s="1" t="s">
        <v>82</v>
      </c>
      <c r="C90" s="1"/>
      <c r="D90" s="1"/>
      <c r="E90" s="9">
        <f>ROUND(SUM(E85:E86),5)</f>
        <v>0</v>
      </c>
      <c r="F90" s="5">
        <f>ROUND(SUM(F85:F86),5)</f>
        <v>1850</v>
      </c>
      <c r="G90" s="25" t="e">
        <f>ROUND(IF(#REF!=0, IF(#REF!=0, 0, 1),#REF! /#REF!),5)</f>
        <v>#REF!</v>
      </c>
      <c r="H90" s="77">
        <f>SUM(H86:H89)</f>
        <v>65000</v>
      </c>
      <c r="I90" s="78">
        <v>25000</v>
      </c>
      <c r="J90" s="79">
        <f>SUM(J87:J89)</f>
        <v>40000</v>
      </c>
      <c r="K90" s="81">
        <f>SUM(K86:K86)</f>
        <v>0</v>
      </c>
      <c r="L90" s="112">
        <f>SUM(L85)</f>
        <v>1000</v>
      </c>
      <c r="M90" s="81">
        <f>SUM(M85)</f>
        <v>1000</v>
      </c>
      <c r="N90" s="113">
        <f>SUM(N86:N89)</f>
        <v>0</v>
      </c>
      <c r="O90" s="84">
        <f>SUM(O86:O89)</f>
        <v>3000</v>
      </c>
      <c r="P90" s="84">
        <f>+N90-O90</f>
        <v>-3000</v>
      </c>
      <c r="Q90" s="85">
        <f>SUM(Q86:Q89)</f>
        <v>50000</v>
      </c>
      <c r="R90" t="s">
        <v>265</v>
      </c>
    </row>
    <row r="91" spans="1:18" ht="15" thickBot="1" x14ac:dyDescent="0.35">
      <c r="A91" s="1" t="s">
        <v>85</v>
      </c>
      <c r="B91" s="1"/>
      <c r="C91" s="1"/>
      <c r="D91" s="1"/>
      <c r="E91" s="9"/>
      <c r="F91" s="5"/>
      <c r="G91" s="25"/>
      <c r="H91" s="67"/>
      <c r="I91" s="68"/>
      <c r="J91" s="69"/>
      <c r="K91" s="71"/>
      <c r="L91" s="100"/>
      <c r="M91" s="71"/>
      <c r="N91" s="111"/>
      <c r="O91" s="74"/>
      <c r="P91" s="74"/>
      <c r="Q91" s="76"/>
    </row>
    <row r="92" spans="1:18" x14ac:dyDescent="0.3">
      <c r="A92" s="1" t="s">
        <v>86</v>
      </c>
      <c r="B92" s="1"/>
      <c r="C92" s="1"/>
      <c r="D92" s="1"/>
      <c r="E92" s="7"/>
      <c r="F92" s="4"/>
      <c r="G92" s="23"/>
      <c r="H92" s="67"/>
      <c r="I92" s="68"/>
      <c r="J92" s="69"/>
      <c r="K92" s="71"/>
      <c r="L92" s="100"/>
      <c r="M92" s="71"/>
      <c r="N92" s="102"/>
      <c r="O92" s="74"/>
      <c r="P92" s="74"/>
      <c r="Q92" s="76"/>
    </row>
    <row r="93" spans="1:18" x14ac:dyDescent="0.3">
      <c r="A93" s="1" t="s">
        <v>87</v>
      </c>
      <c r="B93" s="1"/>
      <c r="C93" s="1"/>
      <c r="D93" s="1"/>
      <c r="E93" s="7"/>
      <c r="F93" s="4"/>
      <c r="G93" s="23"/>
      <c r="H93" s="67"/>
      <c r="I93" s="68"/>
      <c r="J93" s="69"/>
      <c r="K93" s="71"/>
      <c r="L93" s="100"/>
      <c r="M93" s="71"/>
      <c r="N93" s="102"/>
      <c r="O93" s="74"/>
      <c r="P93" s="74"/>
      <c r="Q93" s="76"/>
    </row>
    <row r="94" spans="1:18" x14ac:dyDescent="0.3">
      <c r="A94" s="1"/>
      <c r="B94" s="1" t="s">
        <v>88</v>
      </c>
      <c r="C94" s="1"/>
      <c r="D94" s="1"/>
      <c r="E94" s="7">
        <v>227290</v>
      </c>
      <c r="F94" s="4"/>
      <c r="G94" s="23" t="e">
        <f>ROUND(IF(#REF!=0, IF(#REF!=0, 0, 1),#REF! /#REF!),5)</f>
        <v>#REF!</v>
      </c>
      <c r="H94" s="67">
        <v>269984</v>
      </c>
      <c r="I94" s="68"/>
      <c r="J94" s="69">
        <f>SUM(H94)</f>
        <v>269984</v>
      </c>
      <c r="K94" s="71">
        <v>295350</v>
      </c>
      <c r="L94" s="100">
        <v>0</v>
      </c>
      <c r="M94" s="71">
        <f t="shared" ref="M94" si="26">+K94-L94</f>
        <v>295350</v>
      </c>
      <c r="N94" s="102">
        <v>323026</v>
      </c>
      <c r="O94" s="74">
        <v>0</v>
      </c>
      <c r="P94" s="74">
        <f t="shared" ref="P94:P96" si="27">+N94-O94</f>
        <v>323026</v>
      </c>
      <c r="Q94" s="76">
        <v>0</v>
      </c>
    </row>
    <row r="95" spans="1:18" ht="15" thickBot="1" x14ac:dyDescent="0.35">
      <c r="A95" s="1"/>
      <c r="B95" s="1" t="s">
        <v>89</v>
      </c>
      <c r="C95" s="1"/>
      <c r="D95" s="1"/>
      <c r="E95" s="8">
        <v>4801.45</v>
      </c>
      <c r="F95" s="3"/>
      <c r="G95" s="24" t="e">
        <f>ROUND(IF(#REF!=0, IF(#REF!=0, 0, 1),#REF! /#REF!),5)</f>
        <v>#REF!</v>
      </c>
      <c r="H95" s="77">
        <v>4603.5</v>
      </c>
      <c r="I95" s="78"/>
      <c r="J95" s="79">
        <f>SUM(H95)</f>
        <v>4603.5</v>
      </c>
      <c r="K95" s="81">
        <v>5176.5</v>
      </c>
      <c r="L95" s="112">
        <v>0</v>
      </c>
      <c r="M95" s="81">
        <f>+K95-L95</f>
        <v>5176.5</v>
      </c>
      <c r="N95" s="113">
        <v>0</v>
      </c>
      <c r="O95" s="84">
        <v>0</v>
      </c>
      <c r="P95" s="84">
        <f t="shared" si="27"/>
        <v>0</v>
      </c>
      <c r="Q95" s="85">
        <v>0</v>
      </c>
    </row>
    <row r="96" spans="1:18" ht="15" thickBot="1" x14ac:dyDescent="0.35">
      <c r="A96" s="1" t="s">
        <v>90</v>
      </c>
      <c r="B96" s="1"/>
      <c r="C96" s="1"/>
      <c r="D96" s="1"/>
      <c r="E96" s="10">
        <f>ROUND(SUM(E93:E95),5)</f>
        <v>232091.45</v>
      </c>
      <c r="F96" s="6"/>
      <c r="G96" s="24" t="e">
        <f>ROUND(IF(#REF!=0, IF(#REF!=0, 0, 1),#REF! /#REF!),5)</f>
        <v>#REF!</v>
      </c>
      <c r="H96" s="114">
        <f>SUM(H94:H95)</f>
        <v>274587.5</v>
      </c>
      <c r="I96" s="115"/>
      <c r="J96" s="116">
        <f>SUM(J94:J95)</f>
        <v>274587.5</v>
      </c>
      <c r="K96" s="117">
        <f>SUM(K94:K95)</f>
        <v>300526.5</v>
      </c>
      <c r="L96" s="118"/>
      <c r="M96" s="119">
        <f>SUM(M94:M95)</f>
        <v>300526.5</v>
      </c>
      <c r="N96" s="120">
        <f>SUM(N94:N95)</f>
        <v>323026</v>
      </c>
      <c r="O96" s="121">
        <v>0</v>
      </c>
      <c r="P96" s="121">
        <f t="shared" si="27"/>
        <v>323026</v>
      </c>
      <c r="Q96" s="122">
        <v>0</v>
      </c>
    </row>
    <row r="97" spans="1:17" x14ac:dyDescent="0.3">
      <c r="A97" s="1" t="s">
        <v>91</v>
      </c>
      <c r="B97" s="1"/>
      <c r="C97" s="1"/>
      <c r="D97" s="1"/>
      <c r="E97" s="7">
        <f>ROUND(E92+E96,5)</f>
        <v>232091.45</v>
      </c>
      <c r="F97" s="4"/>
      <c r="G97" s="23"/>
      <c r="H97" s="67">
        <f>SUM(H96)</f>
        <v>274587.5</v>
      </c>
      <c r="I97" s="68"/>
      <c r="J97" s="69">
        <f>SUM(J96)</f>
        <v>274587.5</v>
      </c>
      <c r="K97" s="70">
        <f>SUM(K96)</f>
        <v>300526.5</v>
      </c>
      <c r="L97" s="71">
        <v>0</v>
      </c>
      <c r="M97" s="72">
        <f>SUM(M96)</f>
        <v>300526.5</v>
      </c>
      <c r="N97" s="73">
        <f>SUM(N96)</f>
        <v>323026</v>
      </c>
      <c r="O97" s="74"/>
      <c r="P97" s="86"/>
      <c r="Q97" s="76">
        <f>SUM(Q96)</f>
        <v>0</v>
      </c>
    </row>
    <row r="98" spans="1:17" ht="15" thickBot="1" x14ac:dyDescent="0.35">
      <c r="A98" s="1" t="s">
        <v>92</v>
      </c>
      <c r="B98" s="1"/>
      <c r="C98" s="1"/>
      <c r="D98" s="1"/>
      <c r="E98" s="7"/>
      <c r="F98" s="4"/>
      <c r="G98" s="23"/>
      <c r="H98" s="77"/>
      <c r="I98" s="78"/>
      <c r="J98" s="79"/>
      <c r="K98" s="80"/>
      <c r="L98" s="81"/>
      <c r="M98" s="82"/>
      <c r="N98" s="83"/>
      <c r="O98" s="84"/>
      <c r="P98" s="123"/>
      <c r="Q98" s="85"/>
    </row>
    <row r="99" spans="1:17" x14ac:dyDescent="0.3">
      <c r="A99" s="1" t="s">
        <v>93</v>
      </c>
      <c r="B99" s="1"/>
      <c r="C99" s="1"/>
      <c r="D99" s="1"/>
      <c r="E99" s="9">
        <f>ROUND(E98+E103,5)</f>
        <v>254380</v>
      </c>
      <c r="F99" s="5"/>
      <c r="G99" s="26" t="e">
        <f>ROUND(IF(#REF!=0, IF(#REF!=0, 0, 1),#REF! /#REF!),5)</f>
        <v>#REF!</v>
      </c>
      <c r="H99" s="87"/>
      <c r="I99" s="88"/>
      <c r="J99" s="89"/>
      <c r="K99" s="124"/>
      <c r="L99" s="90"/>
      <c r="M99" s="124"/>
      <c r="N99" s="86"/>
      <c r="O99" s="86"/>
      <c r="P99" s="86"/>
      <c r="Q99" s="91"/>
    </row>
    <row r="100" spans="1:17" x14ac:dyDescent="0.3">
      <c r="A100" s="1" t="s">
        <v>94</v>
      </c>
      <c r="B100" s="1"/>
      <c r="C100" s="1"/>
      <c r="D100" s="1"/>
      <c r="E100" s="7"/>
      <c r="F100" s="4"/>
      <c r="G100" s="23"/>
      <c r="H100" s="67"/>
      <c r="I100" s="68"/>
      <c r="J100" s="69"/>
      <c r="K100" s="100"/>
      <c r="L100" s="71"/>
      <c r="M100" s="100"/>
      <c r="N100" s="74"/>
      <c r="O100" s="74"/>
      <c r="P100" s="74"/>
      <c r="Q100" s="76"/>
    </row>
    <row r="101" spans="1:17" x14ac:dyDescent="0.3">
      <c r="A101" s="1"/>
      <c r="B101" s="1" t="s">
        <v>95</v>
      </c>
      <c r="C101" s="1"/>
      <c r="D101" s="1"/>
      <c r="E101" s="7">
        <v>254380</v>
      </c>
      <c r="F101" s="4"/>
      <c r="G101" s="23" t="e">
        <f>ROUND(IF(#REF!=0, IF(#REF!=0, 0, 1),#REF! /#REF!),5)</f>
        <v>#REF!</v>
      </c>
      <c r="H101" s="67">
        <v>232562</v>
      </c>
      <c r="I101" s="68"/>
      <c r="J101" s="69">
        <f>SUM(H101)</f>
        <v>232562</v>
      </c>
      <c r="K101" s="100">
        <v>341881</v>
      </c>
      <c r="L101" s="71">
        <v>0</v>
      </c>
      <c r="M101" s="100">
        <f t="shared" ref="M101" si="28">+K101-L101</f>
        <v>341881</v>
      </c>
      <c r="N101" s="74">
        <v>222486</v>
      </c>
      <c r="O101" s="74">
        <v>0</v>
      </c>
      <c r="P101" s="74">
        <f t="shared" ref="P101:P103" si="29">+N101-O101</f>
        <v>222486</v>
      </c>
      <c r="Q101" s="76">
        <v>0</v>
      </c>
    </row>
    <row r="102" spans="1:17" ht="15" thickBot="1" x14ac:dyDescent="0.35">
      <c r="A102" s="1"/>
      <c r="B102" s="1" t="s">
        <v>132</v>
      </c>
      <c r="C102" s="1"/>
      <c r="D102" s="1"/>
      <c r="E102" s="7"/>
      <c r="F102" s="4"/>
      <c r="G102" s="23"/>
      <c r="H102" s="77">
        <v>5733.75</v>
      </c>
      <c r="I102" s="78"/>
      <c r="J102" s="79">
        <f>+H102</f>
        <v>5733.75</v>
      </c>
      <c r="K102" s="112">
        <v>5176.5</v>
      </c>
      <c r="L102" s="81"/>
      <c r="M102" s="112">
        <v>5176.5</v>
      </c>
      <c r="N102" s="84">
        <v>0</v>
      </c>
      <c r="O102" s="84">
        <v>0</v>
      </c>
      <c r="P102" s="84">
        <f t="shared" si="29"/>
        <v>0</v>
      </c>
      <c r="Q102" s="85">
        <v>0</v>
      </c>
    </row>
    <row r="103" spans="1:17" ht="15" thickBot="1" x14ac:dyDescent="0.35">
      <c r="A103" s="1" t="s">
        <v>96</v>
      </c>
      <c r="B103" s="1"/>
      <c r="C103" s="1"/>
      <c r="D103" s="1"/>
      <c r="E103" s="10">
        <f>ROUND(SUM(E100:E101),5)</f>
        <v>254380</v>
      </c>
      <c r="F103" s="6"/>
      <c r="G103" s="25" t="e">
        <f>ROUND(IF(#REF!=0, IF(#REF!=0, 0, 1),#REF! /#REF!),5)</f>
        <v>#REF!</v>
      </c>
      <c r="H103" s="77">
        <f>SUM(H101:H102)</f>
        <v>238295.75</v>
      </c>
      <c r="I103" s="78"/>
      <c r="J103" s="79">
        <f>SUM(J101:J102)</f>
        <v>238295.75</v>
      </c>
      <c r="K103" s="80">
        <f>SUM(K101:K102)</f>
        <v>347057.5</v>
      </c>
      <c r="L103" s="81">
        <v>0</v>
      </c>
      <c r="M103" s="82">
        <f>SUM(M101:M102)</f>
        <v>347057.5</v>
      </c>
      <c r="N103" s="83">
        <f>SUM(N101:N102)</f>
        <v>222486</v>
      </c>
      <c r="O103" s="84">
        <v>0</v>
      </c>
      <c r="P103" s="121">
        <f t="shared" si="29"/>
        <v>222486</v>
      </c>
      <c r="Q103" s="122">
        <v>0</v>
      </c>
    </row>
    <row r="104" spans="1:17" x14ac:dyDescent="0.3">
      <c r="A104" s="1"/>
      <c r="B104" s="1"/>
      <c r="C104" s="1" t="s">
        <v>97</v>
      </c>
      <c r="D104" s="1"/>
      <c r="E104" s="4">
        <f>+E97-E103</f>
        <v>-22288.549999999988</v>
      </c>
      <c r="F104" s="4"/>
      <c r="G104" s="23"/>
      <c r="H104" s="93">
        <f>+H96-H103</f>
        <v>36291.75</v>
      </c>
      <c r="I104" s="93"/>
      <c r="J104" s="125">
        <f>SUM(H104:I104)</f>
        <v>36291.75</v>
      </c>
      <c r="K104" s="126">
        <f>+K97-K103</f>
        <v>-46531</v>
      </c>
      <c r="L104" s="126">
        <v>0</v>
      </c>
      <c r="M104" s="126">
        <f>+M97-M103</f>
        <v>-46531</v>
      </c>
      <c r="N104" s="127">
        <f>+N97-N103</f>
        <v>100540</v>
      </c>
      <c r="O104" s="128">
        <v>0</v>
      </c>
      <c r="P104" s="129">
        <f>+P96-P103</f>
        <v>100540</v>
      </c>
      <c r="Q104" s="130">
        <v>0</v>
      </c>
    </row>
    <row r="105" spans="1:17" x14ac:dyDescent="0.3">
      <c r="A105" s="1"/>
      <c r="B105" s="1"/>
      <c r="C105" s="1" t="s">
        <v>139</v>
      </c>
      <c r="E105" s="4"/>
      <c r="F105" s="4"/>
      <c r="G105" s="23"/>
      <c r="H105" s="68">
        <v>-37041.81</v>
      </c>
      <c r="I105" s="68">
        <f>+'Conventions and Meetings'!I55</f>
        <v>-11710</v>
      </c>
      <c r="J105" s="131">
        <f>+'Conventions and Meetings'!J55</f>
        <v>-25331.809999999998</v>
      </c>
      <c r="K105" s="100">
        <f>+'Conventions and Meetings'!K55</f>
        <v>-62800.410000000025</v>
      </c>
      <c r="L105" s="100">
        <f>+'Conventions and Meetings'!L55</f>
        <v>-49720</v>
      </c>
      <c r="M105" s="126">
        <f>+'Conventions and Meetings'!M55</f>
        <v>-26078.210000000006</v>
      </c>
      <c r="N105" s="127">
        <f>+'Conventions and Meetings'!N55</f>
        <v>-11027.309999999994</v>
      </c>
      <c r="O105" s="128">
        <f>SUM('Conventions and Meetings'!O55)</f>
        <v>-25293</v>
      </c>
      <c r="P105" s="132">
        <f>+'Conventions and Meetings'!P55</f>
        <v>14265.690000000006</v>
      </c>
      <c r="Q105" s="133">
        <f>SUM('Conventions and Meetings'!Q55)</f>
        <v>-20685</v>
      </c>
    </row>
    <row r="106" spans="1:17" ht="15" thickBot="1" x14ac:dyDescent="0.35">
      <c r="A106" s="1" t="s">
        <v>140</v>
      </c>
      <c r="B106" s="1"/>
      <c r="C106" s="1"/>
      <c r="D106" s="1"/>
      <c r="E106" s="13">
        <f ca="1">+E82+E104</f>
        <v>32808.510000000009</v>
      </c>
      <c r="F106" s="13">
        <f ca="1">+F82+F104</f>
        <v>43750</v>
      </c>
      <c r="G106" s="28"/>
      <c r="H106" s="60">
        <f ca="1">+H82+H104+H105</f>
        <v>-26863.02999999997</v>
      </c>
      <c r="I106" s="60">
        <f>+I82+I105</f>
        <v>7329</v>
      </c>
      <c r="J106" s="61">
        <f ca="1">+J82+J104+J105</f>
        <v>-33192.030000000028</v>
      </c>
      <c r="K106" s="62">
        <f ca="1">+K82+K104+K105</f>
        <v>-88947.210000000079</v>
      </c>
      <c r="L106" s="62">
        <f ca="1">+L82+L104+L105</f>
        <v>629</v>
      </c>
      <c r="M106" s="62">
        <f ca="1">+K106-L106</f>
        <v>-89576.210000000079</v>
      </c>
      <c r="N106" s="63">
        <f ca="1">+N82+N104+N105</f>
        <v>357809.06000000006</v>
      </c>
      <c r="O106" s="64">
        <f ca="1">+O82+O104+O105</f>
        <v>3710</v>
      </c>
      <c r="P106" s="65">
        <f ca="1">+N106-O106</f>
        <v>354099.06000000006</v>
      </c>
      <c r="Q106" s="66">
        <f>+Q82+Q104+Q105</f>
        <v>-7131</v>
      </c>
    </row>
    <row r="107" spans="1:17" ht="15" thickTop="1" x14ac:dyDescent="0.3">
      <c r="H107" s="17"/>
      <c r="I107" s="18"/>
      <c r="J107" s="57"/>
      <c r="K107" s="19"/>
      <c r="L107" s="19"/>
      <c r="M107" s="19"/>
      <c r="N107" s="19"/>
      <c r="O107" s="19"/>
      <c r="P107" s="19"/>
      <c r="Q107" s="16"/>
    </row>
    <row r="108" spans="1:17" x14ac:dyDescent="0.3">
      <c r="H108" s="17"/>
      <c r="I108" s="16"/>
      <c r="J108" s="58"/>
      <c r="K108" s="20"/>
      <c r="L108" s="20"/>
      <c r="M108" s="20"/>
      <c r="N108" s="20"/>
      <c r="O108" s="20"/>
      <c r="P108" s="20"/>
      <c r="Q108" s="16"/>
    </row>
    <row r="109" spans="1:17" x14ac:dyDescent="0.3">
      <c r="H109" s="17"/>
      <c r="I109" s="16"/>
      <c r="J109" s="58"/>
      <c r="K109" s="20"/>
      <c r="L109" s="20"/>
      <c r="M109" s="20"/>
      <c r="N109" s="20"/>
      <c r="O109" s="20"/>
      <c r="P109" s="20"/>
      <c r="Q109" s="16"/>
    </row>
    <row r="110" spans="1:17" x14ac:dyDescent="0.3">
      <c r="H110" s="17"/>
      <c r="I110" s="16"/>
      <c r="J110" s="58"/>
      <c r="K110" s="20"/>
      <c r="L110" s="20"/>
      <c r="M110" s="20"/>
      <c r="N110" s="20"/>
      <c r="O110" s="20"/>
      <c r="P110" s="20"/>
      <c r="Q110" s="16"/>
    </row>
    <row r="111" spans="1:17" x14ac:dyDescent="0.3">
      <c r="H111" s="17"/>
      <c r="I111" s="16"/>
      <c r="J111" s="58"/>
      <c r="K111" s="20"/>
      <c r="L111" s="20"/>
      <c r="M111" s="20"/>
      <c r="N111" s="20"/>
      <c r="O111" s="20"/>
      <c r="P111" s="20"/>
      <c r="Q111" s="16"/>
    </row>
  </sheetData>
  <mergeCells count="4">
    <mergeCell ref="E1:F1"/>
    <mergeCell ref="K1:M1"/>
    <mergeCell ref="H1:J1"/>
    <mergeCell ref="N1:P1"/>
  </mergeCells>
  <pageMargins left="0.7" right="0.7" top="0.75" bottom="0.75" header="0.1" footer="0.3"/>
  <pageSetup orientation="landscape" r:id="rId1"/>
  <headerFooter>
    <oddHeader xml:space="preserve">&amp;C&amp;"Arial,Bold"&amp;12MVCAC
Proposed 2021-2022 Budget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137160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137160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E290-7A6D-4DE9-A306-BA8470A86BE3}">
  <dimension ref="A1:W448"/>
  <sheetViews>
    <sheetView topLeftCell="C1" zoomScale="89" zoomScaleNormal="89" workbookViewId="0">
      <selection activeCell="R15" sqref="R15"/>
    </sheetView>
  </sheetViews>
  <sheetFormatPr defaultColWidth="9.109375" defaultRowHeight="12" x14ac:dyDescent="0.25"/>
  <cols>
    <col min="1" max="2" width="9.109375" style="135"/>
    <col min="3" max="3" width="35.109375" style="135" customWidth="1"/>
    <col min="4" max="5" width="0.44140625" style="135" hidden="1" customWidth="1"/>
    <col min="6" max="6" width="0.88671875" style="135" hidden="1" customWidth="1"/>
    <col min="7" max="7" width="9.109375" style="135" hidden="1" customWidth="1"/>
    <col min="8" max="8" width="13.109375" style="232" hidden="1" customWidth="1"/>
    <col min="9" max="10" width="15.33203125" style="135" hidden="1" customWidth="1"/>
    <col min="11" max="11" width="22.88671875" style="135" hidden="1" customWidth="1"/>
    <col min="12" max="12" width="16.88671875" style="135" hidden="1" customWidth="1"/>
    <col min="13" max="13" width="22.33203125" style="135" hidden="1" customWidth="1"/>
    <col min="14" max="14" width="22.33203125" style="233" customWidth="1"/>
    <col min="15" max="15" width="22.88671875" style="135" customWidth="1"/>
    <col min="16" max="16" width="20.44140625" style="135" bestFit="1" customWidth="1"/>
    <col min="17" max="17" width="18.6640625" style="135" customWidth="1"/>
    <col min="18" max="18" width="78.109375" style="135" customWidth="1"/>
    <col min="19" max="19" width="43.6640625" style="135" customWidth="1"/>
    <col min="20" max="20" width="20.33203125" style="135" customWidth="1"/>
    <col min="21" max="21" width="33" style="135" customWidth="1"/>
    <col min="22" max="22" width="9.109375" style="135"/>
    <col min="23" max="23" width="17.109375" style="135" customWidth="1"/>
    <col min="24" max="16384" width="9.109375" style="135"/>
  </cols>
  <sheetData>
    <row r="1" spans="1:23" ht="12.6" thickBot="1" x14ac:dyDescent="0.3">
      <c r="A1" s="16"/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ht="49.5" customHeight="1" thickBot="1" x14ac:dyDescent="0.3">
      <c r="A2" s="136"/>
      <c r="B2" s="136"/>
      <c r="C2" s="136"/>
      <c r="D2" s="266" t="s">
        <v>0</v>
      </c>
      <c r="E2" s="267"/>
      <c r="F2" s="267"/>
      <c r="G2" s="268"/>
      <c r="H2" s="269" t="s">
        <v>145</v>
      </c>
      <c r="I2" s="270"/>
      <c r="J2" s="271"/>
      <c r="K2" s="272" t="s">
        <v>149</v>
      </c>
      <c r="L2" s="273"/>
      <c r="M2" s="274"/>
      <c r="N2" s="275" t="s">
        <v>150</v>
      </c>
      <c r="O2" s="276"/>
      <c r="P2" s="277"/>
      <c r="Q2" s="137" t="s">
        <v>152</v>
      </c>
      <c r="R2" s="16"/>
      <c r="S2" s="138" t="s">
        <v>188</v>
      </c>
      <c r="T2" s="138"/>
      <c r="U2" s="135" t="s">
        <v>159</v>
      </c>
      <c r="V2" s="16" t="s">
        <v>184</v>
      </c>
      <c r="W2" s="16" t="s">
        <v>185</v>
      </c>
    </row>
    <row r="3" spans="1:23" s="153" customFormat="1" ht="33.75" customHeight="1" thickBot="1" x14ac:dyDescent="0.3">
      <c r="A3" s="139"/>
      <c r="B3" s="139"/>
      <c r="C3" s="139"/>
      <c r="D3" s="140" t="s">
        <v>2</v>
      </c>
      <c r="E3" s="141" t="s">
        <v>3</v>
      </c>
      <c r="F3" s="141" t="s">
        <v>6</v>
      </c>
      <c r="G3" s="142" t="s">
        <v>4</v>
      </c>
      <c r="H3" s="143" t="s">
        <v>5</v>
      </c>
      <c r="I3" s="144" t="s">
        <v>3</v>
      </c>
      <c r="J3" s="145" t="s">
        <v>6</v>
      </c>
      <c r="K3" s="48" t="s">
        <v>143</v>
      </c>
      <c r="L3" s="49" t="s">
        <v>3</v>
      </c>
      <c r="M3" s="50" t="s">
        <v>7</v>
      </c>
      <c r="N3" s="146" t="s">
        <v>202</v>
      </c>
      <c r="O3" s="147" t="s">
        <v>3</v>
      </c>
      <c r="P3" s="148" t="s">
        <v>151</v>
      </c>
      <c r="Q3" s="149"/>
      <c r="R3" s="150"/>
      <c r="S3" s="151" t="s">
        <v>164</v>
      </c>
      <c r="T3" s="152">
        <v>450</v>
      </c>
      <c r="U3" s="150" t="s">
        <v>160</v>
      </c>
      <c r="V3" s="150">
        <v>178</v>
      </c>
      <c r="W3" s="153">
        <v>375</v>
      </c>
    </row>
    <row r="4" spans="1:23" ht="12.6" thickBot="1" x14ac:dyDescent="0.3">
      <c r="A4" s="154"/>
      <c r="B4" s="154"/>
      <c r="C4" s="154"/>
      <c r="D4" s="155"/>
      <c r="E4" s="156"/>
      <c r="F4" s="156"/>
      <c r="G4" s="157"/>
      <c r="H4" s="143"/>
      <c r="I4" s="144"/>
      <c r="J4" s="145"/>
      <c r="K4" s="158"/>
      <c r="L4" s="159"/>
      <c r="M4" s="160"/>
      <c r="N4" s="161"/>
      <c r="O4" s="147"/>
      <c r="P4" s="162"/>
      <c r="Q4" s="163"/>
      <c r="R4" s="16"/>
      <c r="S4" s="151" t="s">
        <v>173</v>
      </c>
      <c r="T4" s="152">
        <v>825</v>
      </c>
      <c r="U4" s="150" t="s">
        <v>176</v>
      </c>
      <c r="V4" s="16">
        <v>4</v>
      </c>
      <c r="W4" s="135">
        <v>750</v>
      </c>
    </row>
    <row r="5" spans="1:23" x14ac:dyDescent="0.25">
      <c r="A5" s="164" t="s">
        <v>172</v>
      </c>
      <c r="B5" s="16"/>
      <c r="C5" s="16"/>
      <c r="D5" s="165"/>
      <c r="E5" s="166"/>
      <c r="F5" s="166"/>
      <c r="G5" s="167"/>
      <c r="H5" s="168"/>
      <c r="I5" s="169"/>
      <c r="J5" s="169"/>
      <c r="K5" s="170"/>
      <c r="L5" s="171"/>
      <c r="M5" s="170"/>
      <c r="N5" s="172"/>
      <c r="O5" s="172"/>
      <c r="P5" s="172"/>
      <c r="Q5" s="173"/>
      <c r="R5" s="16"/>
      <c r="S5" s="174" t="s">
        <v>204</v>
      </c>
      <c r="T5" s="175">
        <v>400</v>
      </c>
      <c r="U5" s="16" t="s">
        <v>161</v>
      </c>
      <c r="V5" s="16">
        <v>85</v>
      </c>
      <c r="W5" s="135">
        <v>325</v>
      </c>
    </row>
    <row r="6" spans="1:23" x14ac:dyDescent="0.25">
      <c r="A6" s="136"/>
      <c r="B6" s="136" t="s">
        <v>99</v>
      </c>
      <c r="C6" s="136"/>
      <c r="D6" s="176"/>
      <c r="E6" s="177"/>
      <c r="F6" s="177"/>
      <c r="G6" s="178"/>
      <c r="H6" s="168"/>
      <c r="I6" s="179"/>
      <c r="J6" s="179"/>
      <c r="K6" s="180"/>
      <c r="L6" s="181"/>
      <c r="M6" s="180"/>
      <c r="N6" s="182"/>
      <c r="O6" s="182"/>
      <c r="P6" s="183"/>
      <c r="Q6" s="184"/>
      <c r="R6" s="16"/>
      <c r="S6" s="174" t="s">
        <v>174</v>
      </c>
      <c r="T6" s="175">
        <v>750</v>
      </c>
      <c r="U6" s="16" t="s">
        <v>177</v>
      </c>
      <c r="V6" s="16">
        <v>3</v>
      </c>
      <c r="W6" s="135">
        <v>650</v>
      </c>
    </row>
    <row r="7" spans="1:23" ht="23.4" x14ac:dyDescent="0.25">
      <c r="A7" s="136"/>
      <c r="B7" s="136"/>
      <c r="C7" s="136" t="s">
        <v>100</v>
      </c>
      <c r="D7" s="176">
        <v>94585</v>
      </c>
      <c r="E7" s="177">
        <v>100000</v>
      </c>
      <c r="F7" s="177">
        <f t="shared" ref="F7:F17" si="0">ROUND((D7-E7),5)</f>
        <v>-5415</v>
      </c>
      <c r="G7" s="178">
        <f t="shared" ref="G7:G17" si="1">ROUND(IF(E7=0, IF(D7=0, 0, 1), D7/E7),5)</f>
        <v>0.94584999999999997</v>
      </c>
      <c r="H7" s="29">
        <v>97303</v>
      </c>
      <c r="I7" s="179">
        <v>70000</v>
      </c>
      <c r="J7" s="179">
        <f>+H7-I7</f>
        <v>27303</v>
      </c>
      <c r="K7" s="180">
        <v>155355</v>
      </c>
      <c r="L7" s="181">
        <v>120000</v>
      </c>
      <c r="M7" s="180">
        <f>+K7-L7</f>
        <v>35355</v>
      </c>
      <c r="N7" s="182">
        <v>137525</v>
      </c>
      <c r="O7" s="182">
        <v>125757</v>
      </c>
      <c r="P7" s="183">
        <f>+N7-O7</f>
        <v>11768</v>
      </c>
      <c r="Q7" s="184">
        <v>153965</v>
      </c>
      <c r="R7" s="150" t="s">
        <v>218</v>
      </c>
      <c r="S7" s="174" t="s">
        <v>263</v>
      </c>
      <c r="T7" s="175"/>
      <c r="U7" s="16" t="s">
        <v>162</v>
      </c>
      <c r="V7" s="16"/>
      <c r="W7" s="135">
        <v>185</v>
      </c>
    </row>
    <row r="8" spans="1:23" x14ac:dyDescent="0.25">
      <c r="A8" s="136"/>
      <c r="B8" s="136"/>
      <c r="C8" s="136" t="s">
        <v>101</v>
      </c>
      <c r="D8" s="176">
        <v>29000</v>
      </c>
      <c r="E8" s="177">
        <v>25000</v>
      </c>
      <c r="F8" s="177">
        <f t="shared" si="0"/>
        <v>4000</v>
      </c>
      <c r="G8" s="178">
        <f t="shared" si="1"/>
        <v>1.1599999999999999</v>
      </c>
      <c r="H8" s="29">
        <v>16625</v>
      </c>
      <c r="I8" s="179">
        <v>8500</v>
      </c>
      <c r="J8" s="179">
        <f t="shared" ref="J8:J17" si="2">+H8-I8</f>
        <v>8125</v>
      </c>
      <c r="K8" s="180">
        <v>31833</v>
      </c>
      <c r="L8" s="181">
        <v>33000</v>
      </c>
      <c r="M8" s="180">
        <f t="shared" ref="M8:M13" si="3">+K8-L8</f>
        <v>-1167</v>
      </c>
      <c r="N8" s="182">
        <v>33250</v>
      </c>
      <c r="O8" s="182">
        <v>25000</v>
      </c>
      <c r="P8" s="183">
        <f t="shared" ref="P8:P17" si="4">+N8-O8</f>
        <v>8250</v>
      </c>
      <c r="Q8" s="184">
        <v>35000</v>
      </c>
      <c r="R8" s="150" t="s">
        <v>217</v>
      </c>
      <c r="S8" s="174" t="s">
        <v>178</v>
      </c>
      <c r="T8" s="175">
        <v>350</v>
      </c>
      <c r="U8" s="16" t="s">
        <v>178</v>
      </c>
      <c r="V8" s="16"/>
      <c r="W8" s="135">
        <v>300</v>
      </c>
    </row>
    <row r="9" spans="1:23" x14ac:dyDescent="0.25">
      <c r="A9" s="136"/>
      <c r="B9" s="136"/>
      <c r="C9" s="136" t="s">
        <v>102</v>
      </c>
      <c r="D9" s="176">
        <v>22850</v>
      </c>
      <c r="E9" s="177">
        <v>20000</v>
      </c>
      <c r="F9" s="177">
        <f t="shared" si="0"/>
        <v>2850</v>
      </c>
      <c r="G9" s="178">
        <f t="shared" si="1"/>
        <v>1.1425000000000001</v>
      </c>
      <c r="H9" s="29">
        <v>24350</v>
      </c>
      <c r="I9" s="179">
        <v>20000</v>
      </c>
      <c r="J9" s="179">
        <f t="shared" si="2"/>
        <v>4350</v>
      </c>
      <c r="K9" s="180">
        <v>28350</v>
      </c>
      <c r="L9" s="181">
        <v>30000</v>
      </c>
      <c r="M9" s="180">
        <f t="shared" si="3"/>
        <v>-1650</v>
      </c>
      <c r="N9" s="182">
        <v>28675</v>
      </c>
      <c r="O9" s="182">
        <v>25000</v>
      </c>
      <c r="P9" s="183">
        <f t="shared" si="4"/>
        <v>3675</v>
      </c>
      <c r="Q9" s="184">
        <v>32000</v>
      </c>
      <c r="R9" s="16" t="s">
        <v>167</v>
      </c>
      <c r="S9" s="174" t="s">
        <v>261</v>
      </c>
      <c r="T9" s="175">
        <v>275</v>
      </c>
      <c r="U9" s="16" t="s">
        <v>209</v>
      </c>
      <c r="V9" s="16">
        <v>57</v>
      </c>
    </row>
    <row r="10" spans="1:23" x14ac:dyDescent="0.25">
      <c r="A10" s="136"/>
      <c r="B10" s="136"/>
      <c r="C10" s="136" t="s">
        <v>103</v>
      </c>
      <c r="D10" s="176">
        <v>1600</v>
      </c>
      <c r="E10" s="177">
        <v>2500</v>
      </c>
      <c r="F10" s="177">
        <f t="shared" si="0"/>
        <v>-900</v>
      </c>
      <c r="G10" s="178">
        <f t="shared" si="1"/>
        <v>0.64</v>
      </c>
      <c r="H10" s="29">
        <v>1200</v>
      </c>
      <c r="I10" s="179">
        <v>750</v>
      </c>
      <c r="J10" s="179">
        <f t="shared" si="2"/>
        <v>450</v>
      </c>
      <c r="K10" s="180">
        <v>1850</v>
      </c>
      <c r="L10" s="181">
        <v>1200</v>
      </c>
      <c r="M10" s="180">
        <f t="shared" si="3"/>
        <v>650</v>
      </c>
      <c r="N10" s="182">
        <v>1900</v>
      </c>
      <c r="O10" s="182">
        <v>1850</v>
      </c>
      <c r="P10" s="183">
        <f t="shared" si="4"/>
        <v>50</v>
      </c>
      <c r="Q10" s="184">
        <v>1900</v>
      </c>
      <c r="R10" s="16"/>
      <c r="S10" s="174" t="s">
        <v>219</v>
      </c>
      <c r="T10" s="175">
        <v>225</v>
      </c>
      <c r="U10" s="16" t="s">
        <v>210</v>
      </c>
      <c r="V10" s="16">
        <v>1</v>
      </c>
    </row>
    <row r="11" spans="1:23" x14ac:dyDescent="0.25">
      <c r="A11" s="136"/>
      <c r="B11" s="136"/>
      <c r="C11" s="136" t="s">
        <v>168</v>
      </c>
      <c r="D11" s="176"/>
      <c r="E11" s="177"/>
      <c r="F11" s="177"/>
      <c r="G11" s="178"/>
      <c r="H11" s="29"/>
      <c r="I11" s="179"/>
      <c r="J11" s="179"/>
      <c r="K11" s="180"/>
      <c r="L11" s="181"/>
      <c r="M11" s="180"/>
      <c r="N11" s="182"/>
      <c r="O11" s="182"/>
      <c r="P11" s="183"/>
      <c r="Q11" s="184">
        <v>2500</v>
      </c>
      <c r="R11" s="16"/>
      <c r="S11" s="174" t="s">
        <v>262</v>
      </c>
      <c r="T11" s="152">
        <v>180</v>
      </c>
      <c r="U11" s="16" t="s">
        <v>211</v>
      </c>
      <c r="V11" s="16">
        <v>18</v>
      </c>
    </row>
    <row r="12" spans="1:23" x14ac:dyDescent="0.25">
      <c r="A12" s="136"/>
      <c r="B12" s="136"/>
      <c r="C12" s="136" t="s">
        <v>104</v>
      </c>
      <c r="D12" s="176">
        <v>1800</v>
      </c>
      <c r="E12" s="177">
        <v>3700</v>
      </c>
      <c r="F12" s="177">
        <f t="shared" si="0"/>
        <v>-1900</v>
      </c>
      <c r="G12" s="178">
        <f t="shared" si="1"/>
        <v>0.48648999999999998</v>
      </c>
      <c r="H12" s="29">
        <v>0</v>
      </c>
      <c r="I12" s="179">
        <v>2000</v>
      </c>
      <c r="J12" s="179">
        <f t="shared" si="2"/>
        <v>-2000</v>
      </c>
      <c r="K12" s="180">
        <v>0</v>
      </c>
      <c r="L12" s="181">
        <v>2000</v>
      </c>
      <c r="M12" s="180">
        <f t="shared" si="3"/>
        <v>-2000</v>
      </c>
      <c r="N12" s="182"/>
      <c r="O12" s="182">
        <v>1000</v>
      </c>
      <c r="P12" s="183">
        <f t="shared" si="4"/>
        <v>-1000</v>
      </c>
      <c r="Q12" s="184">
        <v>1000</v>
      </c>
      <c r="R12" s="16"/>
      <c r="S12" s="174" t="s">
        <v>166</v>
      </c>
      <c r="T12" s="175">
        <v>125</v>
      </c>
      <c r="U12" s="16" t="s">
        <v>163</v>
      </c>
      <c r="V12" s="16">
        <v>4</v>
      </c>
      <c r="W12" s="135">
        <v>200</v>
      </c>
    </row>
    <row r="13" spans="1:23" ht="12.6" thickBot="1" x14ac:dyDescent="0.3">
      <c r="A13" s="136"/>
      <c r="B13" s="136"/>
      <c r="C13" s="136" t="s">
        <v>105</v>
      </c>
      <c r="D13" s="185">
        <v>0</v>
      </c>
      <c r="E13" s="186">
        <v>3000</v>
      </c>
      <c r="F13" s="186">
        <f t="shared" si="0"/>
        <v>-3000</v>
      </c>
      <c r="G13" s="187">
        <f t="shared" si="1"/>
        <v>0</v>
      </c>
      <c r="H13" s="29">
        <v>0</v>
      </c>
      <c r="I13" s="179">
        <v>0</v>
      </c>
      <c r="J13" s="179">
        <f t="shared" si="2"/>
        <v>0</v>
      </c>
      <c r="K13" s="180">
        <v>0</v>
      </c>
      <c r="L13" s="181">
        <v>0</v>
      </c>
      <c r="M13" s="180">
        <f t="shared" si="3"/>
        <v>0</v>
      </c>
      <c r="N13" s="182"/>
      <c r="O13" s="182">
        <v>1000</v>
      </c>
      <c r="P13" s="183">
        <f t="shared" si="4"/>
        <v>-1000</v>
      </c>
      <c r="Q13" s="184">
        <v>1000</v>
      </c>
      <c r="R13" s="16"/>
      <c r="S13" s="174" t="s">
        <v>221</v>
      </c>
      <c r="T13" s="175" t="s">
        <v>222</v>
      </c>
      <c r="U13" s="16" t="s">
        <v>165</v>
      </c>
      <c r="V13" s="16">
        <v>6</v>
      </c>
      <c r="W13" s="135">
        <v>185</v>
      </c>
    </row>
    <row r="14" spans="1:23" ht="12.6" thickBot="1" x14ac:dyDescent="0.3">
      <c r="A14" s="136"/>
      <c r="B14" s="136"/>
      <c r="C14" s="136" t="s">
        <v>136</v>
      </c>
      <c r="D14" s="185"/>
      <c r="E14" s="186"/>
      <c r="F14" s="186"/>
      <c r="G14" s="187"/>
      <c r="H14" s="29"/>
      <c r="I14" s="179"/>
      <c r="J14" s="179"/>
      <c r="K14" s="180"/>
      <c r="L14" s="181"/>
      <c r="M14" s="180"/>
      <c r="N14" s="182"/>
      <c r="O14" s="182">
        <v>1000</v>
      </c>
      <c r="P14" s="183">
        <f t="shared" si="4"/>
        <v>-1000</v>
      </c>
      <c r="Q14" s="184">
        <v>500</v>
      </c>
      <c r="R14" s="16"/>
      <c r="S14" s="138" t="s">
        <v>223</v>
      </c>
      <c r="T14" s="175">
        <v>310</v>
      </c>
      <c r="U14" s="16" t="s">
        <v>166</v>
      </c>
      <c r="V14" s="16">
        <v>31</v>
      </c>
      <c r="W14" s="135">
        <v>75</v>
      </c>
    </row>
    <row r="15" spans="1:23" ht="12.6" thickBot="1" x14ac:dyDescent="0.3">
      <c r="A15" s="136"/>
      <c r="B15" s="136"/>
      <c r="C15" s="136" t="s">
        <v>135</v>
      </c>
      <c r="D15" s="185"/>
      <c r="E15" s="186"/>
      <c r="F15" s="186"/>
      <c r="G15" s="187"/>
      <c r="H15" s="29"/>
      <c r="I15" s="179"/>
      <c r="J15" s="179"/>
      <c r="K15" s="180"/>
      <c r="L15" s="181"/>
      <c r="M15" s="180"/>
      <c r="N15" s="182"/>
      <c r="O15" s="182">
        <v>4500</v>
      </c>
      <c r="P15" s="183">
        <f t="shared" si="4"/>
        <v>-4500</v>
      </c>
      <c r="Q15" s="184">
        <v>3750</v>
      </c>
      <c r="R15" s="16" t="s">
        <v>220</v>
      </c>
      <c r="S15" s="138" t="s">
        <v>224</v>
      </c>
      <c r="T15" s="175">
        <v>250</v>
      </c>
      <c r="U15" s="16" t="s">
        <v>179</v>
      </c>
      <c r="V15" s="16"/>
      <c r="W15" s="135">
        <v>25</v>
      </c>
    </row>
    <row r="16" spans="1:23" ht="12.6" thickBot="1" x14ac:dyDescent="0.3">
      <c r="A16" s="136"/>
      <c r="B16" s="136"/>
      <c r="C16" s="136" t="s">
        <v>137</v>
      </c>
      <c r="D16" s="185"/>
      <c r="E16" s="186"/>
      <c r="F16" s="186"/>
      <c r="G16" s="187"/>
      <c r="H16" s="29"/>
      <c r="I16" s="179"/>
      <c r="J16" s="179"/>
      <c r="K16" s="188"/>
      <c r="L16" s="189"/>
      <c r="M16" s="188"/>
      <c r="N16" s="190">
        <v>8657.2900000000009</v>
      </c>
      <c r="O16" s="190">
        <v>4500</v>
      </c>
      <c r="P16" s="191">
        <f t="shared" si="4"/>
        <v>4157.2900000000009</v>
      </c>
      <c r="Q16" s="192">
        <v>6000</v>
      </c>
      <c r="R16" s="16" t="s">
        <v>170</v>
      </c>
      <c r="S16" s="16"/>
      <c r="T16" s="16"/>
      <c r="U16" s="16" t="s">
        <v>175</v>
      </c>
      <c r="V16" s="16">
        <v>3</v>
      </c>
      <c r="W16" s="135">
        <v>220</v>
      </c>
    </row>
    <row r="17" spans="1:23" ht="12.6" thickBot="1" x14ac:dyDescent="0.3">
      <c r="A17" s="136"/>
      <c r="B17" s="136" t="s">
        <v>106</v>
      </c>
      <c r="C17" s="136"/>
      <c r="D17" s="185">
        <f>ROUND(SUM(D6:D13),5)</f>
        <v>149835</v>
      </c>
      <c r="E17" s="186">
        <f>ROUND(SUM(E6:E13),5)</f>
        <v>154200</v>
      </c>
      <c r="F17" s="186">
        <f t="shared" si="0"/>
        <v>-4365</v>
      </c>
      <c r="G17" s="187">
        <f t="shared" si="1"/>
        <v>0.97169000000000005</v>
      </c>
      <c r="H17" s="193">
        <f>SUM(H7:H13)</f>
        <v>139478</v>
      </c>
      <c r="I17" s="194">
        <f>ROUND(SUM(I6:I13),5)</f>
        <v>101250</v>
      </c>
      <c r="J17" s="195">
        <f t="shared" si="2"/>
        <v>38228</v>
      </c>
      <c r="K17" s="196">
        <f>SUM(K7:K13)</f>
        <v>217388</v>
      </c>
      <c r="L17" s="197">
        <f>SUM(L7:L13)</f>
        <v>186200</v>
      </c>
      <c r="M17" s="196">
        <f>SUM(M7:M13)</f>
        <v>31188</v>
      </c>
      <c r="N17" s="198">
        <f>SUM(N7:N16)</f>
        <v>210007.29</v>
      </c>
      <c r="O17" s="198">
        <f>SUM(O7:O16)</f>
        <v>189607</v>
      </c>
      <c r="P17" s="199">
        <f t="shared" si="4"/>
        <v>20400.290000000008</v>
      </c>
      <c r="Q17" s="200">
        <f>SUM(Q7:Q16)</f>
        <v>237615</v>
      </c>
      <c r="R17" s="16"/>
      <c r="S17" s="16" t="s">
        <v>258</v>
      </c>
      <c r="T17" s="16"/>
      <c r="U17" s="16" t="s">
        <v>180</v>
      </c>
      <c r="V17" s="16"/>
      <c r="W17" s="135">
        <v>115</v>
      </c>
    </row>
    <row r="18" spans="1:23" x14ac:dyDescent="0.25">
      <c r="A18" s="16"/>
      <c r="B18" s="16"/>
      <c r="C18" s="16"/>
      <c r="D18" s="201"/>
      <c r="E18" s="17"/>
      <c r="F18" s="17"/>
      <c r="G18" s="202"/>
      <c r="H18" s="168"/>
      <c r="I18" s="203"/>
      <c r="J18" s="203"/>
      <c r="K18" s="204"/>
      <c r="L18" s="204"/>
      <c r="M18" s="204"/>
      <c r="N18" s="205"/>
      <c r="O18" s="205"/>
      <c r="P18" s="205"/>
      <c r="Q18" s="206"/>
      <c r="R18" s="16"/>
      <c r="S18" s="16" t="s">
        <v>259</v>
      </c>
      <c r="T18" s="16"/>
      <c r="U18" s="16" t="s">
        <v>181</v>
      </c>
      <c r="V18" s="16">
        <v>28</v>
      </c>
      <c r="W18" s="135">
        <v>90</v>
      </c>
    </row>
    <row r="19" spans="1:23" x14ac:dyDescent="0.25">
      <c r="A19" s="136"/>
      <c r="B19" s="136" t="s">
        <v>107</v>
      </c>
      <c r="C19" s="136"/>
      <c r="D19" s="176"/>
      <c r="E19" s="177"/>
      <c r="F19" s="177"/>
      <c r="G19" s="178"/>
      <c r="H19" s="168"/>
      <c r="I19" s="179"/>
      <c r="J19" s="179"/>
      <c r="K19" s="180"/>
      <c r="L19" s="180"/>
      <c r="M19" s="180"/>
      <c r="N19" s="182"/>
      <c r="O19" s="182"/>
      <c r="P19" s="183"/>
      <c r="Q19" s="184"/>
      <c r="R19" s="16"/>
      <c r="S19" s="16"/>
      <c r="T19" s="16"/>
      <c r="U19" s="16"/>
      <c r="V19" s="16">
        <f>SUM(V3:V18)</f>
        <v>418</v>
      </c>
    </row>
    <row r="20" spans="1:23" x14ac:dyDescent="0.25">
      <c r="A20" s="136"/>
      <c r="B20" s="136"/>
      <c r="C20" s="136" t="s">
        <v>108</v>
      </c>
      <c r="D20" s="176">
        <f>130322.62-13500</f>
        <v>116822.62</v>
      </c>
      <c r="E20" s="177">
        <v>105000</v>
      </c>
      <c r="F20" s="177">
        <f t="shared" ref="F20:F31" si="5">ROUND((D20-E20),5)</f>
        <v>11822.62</v>
      </c>
      <c r="G20" s="178">
        <f t="shared" ref="G20:G31" si="6">ROUND(IF(E20=0, IF(D20=0, 0, 1), D20/E20),5)</f>
        <v>1.1126</v>
      </c>
      <c r="H20" s="29">
        <v>85298.3</v>
      </c>
      <c r="I20" s="179">
        <v>32000</v>
      </c>
      <c r="J20" s="179">
        <f t="shared" ref="J20:J37" si="7">+H20-I20</f>
        <v>53298.3</v>
      </c>
      <c r="K20" s="180">
        <v>177075.31</v>
      </c>
      <c r="L20" s="180">
        <v>112000</v>
      </c>
      <c r="M20" s="180">
        <f>+K20-L20</f>
        <v>65075.31</v>
      </c>
      <c r="N20" s="182">
        <v>79474</v>
      </c>
      <c r="O20" s="182">
        <v>90000</v>
      </c>
      <c r="P20" s="183">
        <f t="shared" ref="P20:P43" si="8">+N20-O20</f>
        <v>-10526</v>
      </c>
      <c r="Q20" s="184">
        <v>125000</v>
      </c>
      <c r="R20" s="16" t="s">
        <v>200</v>
      </c>
      <c r="S20" s="16" t="s">
        <v>213</v>
      </c>
      <c r="T20" s="16">
        <v>27940</v>
      </c>
      <c r="U20" s="16"/>
      <c r="V20" s="16"/>
    </row>
    <row r="21" spans="1:23" x14ac:dyDescent="0.25">
      <c r="A21" s="136"/>
      <c r="B21" s="136"/>
      <c r="C21" s="136" t="s">
        <v>133</v>
      </c>
      <c r="D21" s="176">
        <v>9823.24</v>
      </c>
      <c r="E21" s="177">
        <v>7500</v>
      </c>
      <c r="F21" s="177">
        <f t="shared" si="5"/>
        <v>2323.2399999999998</v>
      </c>
      <c r="G21" s="178">
        <f t="shared" si="6"/>
        <v>1.3097700000000001</v>
      </c>
      <c r="H21" s="29">
        <v>7077.59</v>
      </c>
      <c r="I21" s="179">
        <v>15000</v>
      </c>
      <c r="J21" s="179">
        <f t="shared" si="7"/>
        <v>-7922.41</v>
      </c>
      <c r="K21" s="180">
        <v>9511.57</v>
      </c>
      <c r="L21" s="180">
        <v>8000</v>
      </c>
      <c r="M21" s="180">
        <f t="shared" ref="M21:M34" si="9">+K21-L21</f>
        <v>1511.5699999999997</v>
      </c>
      <c r="N21" s="182">
        <v>2951.34</v>
      </c>
      <c r="O21" s="182">
        <v>3000</v>
      </c>
      <c r="P21" s="183">
        <f t="shared" si="8"/>
        <v>-48.659999999999854</v>
      </c>
      <c r="Q21" s="184">
        <v>2500</v>
      </c>
      <c r="R21" s="16"/>
      <c r="S21" s="16" t="s">
        <v>214</v>
      </c>
      <c r="T21" s="16">
        <v>41260</v>
      </c>
      <c r="U21" s="16" t="s">
        <v>212</v>
      </c>
      <c r="V21" s="16">
        <v>212</v>
      </c>
    </row>
    <row r="22" spans="1:23" x14ac:dyDescent="0.25">
      <c r="A22" s="136"/>
      <c r="B22" s="136"/>
      <c r="C22" s="136" t="s">
        <v>169</v>
      </c>
      <c r="D22" s="176">
        <v>1750</v>
      </c>
      <c r="E22" s="177">
        <v>1750</v>
      </c>
      <c r="F22" s="177">
        <f t="shared" si="5"/>
        <v>0</v>
      </c>
      <c r="G22" s="178">
        <f t="shared" si="6"/>
        <v>1</v>
      </c>
      <c r="H22" s="29">
        <v>1250</v>
      </c>
      <c r="I22" s="179">
        <v>2000</v>
      </c>
      <c r="J22" s="179">
        <f t="shared" si="7"/>
        <v>-750</v>
      </c>
      <c r="K22" s="180">
        <v>1970.24</v>
      </c>
      <c r="L22" s="180">
        <v>2000</v>
      </c>
      <c r="M22" s="180">
        <f t="shared" si="9"/>
        <v>-29.759999999999991</v>
      </c>
      <c r="N22" s="182">
        <v>1326.11</v>
      </c>
      <c r="O22" s="182">
        <v>1800</v>
      </c>
      <c r="P22" s="183">
        <f t="shared" si="8"/>
        <v>-473.8900000000001</v>
      </c>
      <c r="Q22" s="184">
        <v>2000</v>
      </c>
      <c r="R22" s="16"/>
      <c r="S22" s="16" t="s">
        <v>215</v>
      </c>
      <c r="T22" s="16">
        <v>10160</v>
      </c>
    </row>
    <row r="23" spans="1:23" x14ac:dyDescent="0.25">
      <c r="A23" s="136"/>
      <c r="B23" s="136"/>
      <c r="C23" s="136" t="s">
        <v>190</v>
      </c>
      <c r="D23" s="176">
        <v>2100</v>
      </c>
      <c r="E23" s="177">
        <v>2200</v>
      </c>
      <c r="F23" s="177">
        <f t="shared" si="5"/>
        <v>-100</v>
      </c>
      <c r="G23" s="178">
        <f t="shared" si="6"/>
        <v>0.95455000000000001</v>
      </c>
      <c r="H23" s="29">
        <v>4549.01</v>
      </c>
      <c r="I23" s="179">
        <v>2500</v>
      </c>
      <c r="J23" s="179">
        <f t="shared" si="7"/>
        <v>2049.0100000000002</v>
      </c>
      <c r="K23" s="180">
        <v>3100</v>
      </c>
      <c r="L23" s="180">
        <v>3500</v>
      </c>
      <c r="M23" s="180">
        <f t="shared" si="9"/>
        <v>-400</v>
      </c>
      <c r="N23" s="182">
        <v>3471.21</v>
      </c>
      <c r="O23" s="182">
        <v>3000</v>
      </c>
      <c r="P23" s="183">
        <f t="shared" si="8"/>
        <v>471.21000000000004</v>
      </c>
      <c r="Q23" s="184">
        <v>15000</v>
      </c>
      <c r="R23" s="16" t="s">
        <v>158</v>
      </c>
      <c r="S23" s="16" t="s">
        <v>216</v>
      </c>
      <c r="T23" s="16" t="s">
        <v>260</v>
      </c>
    </row>
    <row r="24" spans="1:23" x14ac:dyDescent="0.25">
      <c r="A24" s="136"/>
      <c r="B24" s="136"/>
      <c r="C24" s="136" t="s">
        <v>109</v>
      </c>
      <c r="D24" s="176">
        <v>1036.3399999999999</v>
      </c>
      <c r="E24" s="177">
        <v>1200</v>
      </c>
      <c r="F24" s="177">
        <f t="shared" si="5"/>
        <v>-163.66</v>
      </c>
      <c r="G24" s="178">
        <f t="shared" si="6"/>
        <v>0.86362000000000005</v>
      </c>
      <c r="H24" s="29">
        <v>896.14</v>
      </c>
      <c r="I24" s="179">
        <v>1200</v>
      </c>
      <c r="J24" s="179">
        <f t="shared" si="7"/>
        <v>-303.86</v>
      </c>
      <c r="K24" s="180">
        <v>705</v>
      </c>
      <c r="L24" s="180">
        <v>300</v>
      </c>
      <c r="M24" s="180">
        <f t="shared" si="9"/>
        <v>405</v>
      </c>
      <c r="N24" s="182">
        <v>1318.51</v>
      </c>
      <c r="O24" s="182">
        <v>600</v>
      </c>
      <c r="P24" s="183">
        <f t="shared" si="8"/>
        <v>718.51</v>
      </c>
      <c r="Q24" s="184">
        <v>600</v>
      </c>
      <c r="R24" s="16"/>
      <c r="S24" s="16"/>
      <c r="T24" s="16"/>
    </row>
    <row r="25" spans="1:23" ht="23.4" x14ac:dyDescent="0.25">
      <c r="A25" s="136"/>
      <c r="B25" s="136"/>
      <c r="C25" s="136" t="s">
        <v>110</v>
      </c>
      <c r="D25" s="176">
        <v>1586.25</v>
      </c>
      <c r="E25" s="177">
        <v>2000</v>
      </c>
      <c r="F25" s="177">
        <f t="shared" si="5"/>
        <v>-413.75</v>
      </c>
      <c r="G25" s="178">
        <f t="shared" si="6"/>
        <v>0.79313</v>
      </c>
      <c r="H25" s="29">
        <v>3600</v>
      </c>
      <c r="I25" s="179">
        <v>1500</v>
      </c>
      <c r="J25" s="179">
        <f t="shared" si="7"/>
        <v>2100</v>
      </c>
      <c r="K25" s="180">
        <v>0</v>
      </c>
      <c r="L25" s="180">
        <v>3000</v>
      </c>
      <c r="M25" s="180">
        <f t="shared" si="9"/>
        <v>-3000</v>
      </c>
      <c r="N25" s="182">
        <v>51271</v>
      </c>
      <c r="O25" s="182">
        <v>3000</v>
      </c>
      <c r="P25" s="183">
        <f t="shared" si="8"/>
        <v>48271</v>
      </c>
      <c r="Q25" s="184">
        <v>6000</v>
      </c>
      <c r="R25" s="207" t="s">
        <v>201</v>
      </c>
      <c r="S25" s="16"/>
      <c r="T25" s="16"/>
    </row>
    <row r="26" spans="1:23" x14ac:dyDescent="0.25">
      <c r="A26" s="136"/>
      <c r="B26" s="136"/>
      <c r="C26" s="136" t="s">
        <v>111</v>
      </c>
      <c r="D26" s="176">
        <v>504.39</v>
      </c>
      <c r="E26" s="177">
        <v>3000</v>
      </c>
      <c r="F26" s="177">
        <f t="shared" si="5"/>
        <v>-2495.61</v>
      </c>
      <c r="G26" s="178">
        <f t="shared" si="6"/>
        <v>0.16813</v>
      </c>
      <c r="H26" s="29">
        <v>0</v>
      </c>
      <c r="I26" s="179">
        <v>2000</v>
      </c>
      <c r="J26" s="179">
        <f t="shared" si="7"/>
        <v>-2000</v>
      </c>
      <c r="K26" s="180">
        <v>2360.1999999999998</v>
      </c>
      <c r="L26" s="180">
        <v>3000</v>
      </c>
      <c r="M26" s="180">
        <f t="shared" si="9"/>
        <v>-639.80000000000018</v>
      </c>
      <c r="N26" s="182">
        <v>1713</v>
      </c>
      <c r="O26" s="182">
        <v>3500</v>
      </c>
      <c r="P26" s="183">
        <f t="shared" si="8"/>
        <v>-1787</v>
      </c>
      <c r="Q26" s="184">
        <v>3500</v>
      </c>
      <c r="R26" s="16"/>
      <c r="S26" s="16"/>
      <c r="T26" s="16"/>
    </row>
    <row r="27" spans="1:23" x14ac:dyDescent="0.25">
      <c r="A27" s="136"/>
      <c r="B27" s="136"/>
      <c r="C27" s="136" t="s">
        <v>112</v>
      </c>
      <c r="D27" s="176">
        <v>1558</v>
      </c>
      <c r="E27" s="177">
        <v>2700</v>
      </c>
      <c r="F27" s="177">
        <f t="shared" si="5"/>
        <v>-1142</v>
      </c>
      <c r="G27" s="178">
        <f t="shared" si="6"/>
        <v>0.57704</v>
      </c>
      <c r="H27" s="29">
        <v>314.98</v>
      </c>
      <c r="I27" s="179">
        <v>2000</v>
      </c>
      <c r="J27" s="179">
        <f t="shared" si="7"/>
        <v>-1685.02</v>
      </c>
      <c r="K27" s="180">
        <v>620.21</v>
      </c>
      <c r="L27" s="180">
        <v>2000</v>
      </c>
      <c r="M27" s="180">
        <f t="shared" si="9"/>
        <v>-1379.79</v>
      </c>
      <c r="N27" s="182">
        <v>0</v>
      </c>
      <c r="O27" s="182">
        <v>1000</v>
      </c>
      <c r="P27" s="183">
        <f t="shared" si="8"/>
        <v>-1000</v>
      </c>
      <c r="Q27" s="184">
        <v>1000</v>
      </c>
      <c r="R27" s="16"/>
      <c r="S27" s="16"/>
      <c r="T27" s="16"/>
    </row>
    <row r="28" spans="1:23" x14ac:dyDescent="0.25">
      <c r="A28" s="136"/>
      <c r="B28" s="136"/>
      <c r="C28" s="136" t="s">
        <v>113</v>
      </c>
      <c r="D28" s="176">
        <v>710.85</v>
      </c>
      <c r="E28" s="177">
        <v>0</v>
      </c>
      <c r="F28" s="177">
        <f t="shared" si="5"/>
        <v>710.85</v>
      </c>
      <c r="G28" s="178">
        <f t="shared" si="6"/>
        <v>1</v>
      </c>
      <c r="H28" s="29">
        <v>0</v>
      </c>
      <c r="I28" s="179">
        <v>500</v>
      </c>
      <c r="J28" s="179">
        <f t="shared" si="7"/>
        <v>-500</v>
      </c>
      <c r="K28" s="180">
        <v>0</v>
      </c>
      <c r="L28" s="180">
        <v>0</v>
      </c>
      <c r="M28" s="180">
        <f t="shared" si="9"/>
        <v>0</v>
      </c>
      <c r="N28" s="182">
        <v>0</v>
      </c>
      <c r="O28" s="182"/>
      <c r="P28" s="183">
        <f t="shared" si="8"/>
        <v>0</v>
      </c>
      <c r="Q28" s="184"/>
      <c r="R28" s="16" t="s">
        <v>182</v>
      </c>
      <c r="S28" s="16"/>
      <c r="T28" s="16"/>
    </row>
    <row r="29" spans="1:23" x14ac:dyDescent="0.25">
      <c r="A29" s="136"/>
      <c r="B29" s="136"/>
      <c r="C29" s="136" t="s">
        <v>114</v>
      </c>
      <c r="D29" s="176">
        <v>7297.32</v>
      </c>
      <c r="E29" s="177">
        <v>4700</v>
      </c>
      <c r="F29" s="177">
        <f t="shared" si="5"/>
        <v>2597.3200000000002</v>
      </c>
      <c r="G29" s="178">
        <f t="shared" si="6"/>
        <v>1.5526199999999999</v>
      </c>
      <c r="H29" s="29">
        <v>4705</v>
      </c>
      <c r="I29" s="179">
        <v>3500</v>
      </c>
      <c r="J29" s="179">
        <f t="shared" si="7"/>
        <v>1205</v>
      </c>
      <c r="K29" s="180">
        <v>5490</v>
      </c>
      <c r="L29" s="180">
        <v>5000</v>
      </c>
      <c r="M29" s="180">
        <f t="shared" si="9"/>
        <v>490</v>
      </c>
      <c r="N29" s="182">
        <v>5085</v>
      </c>
      <c r="O29" s="182">
        <v>5000</v>
      </c>
      <c r="P29" s="183">
        <f t="shared" si="8"/>
        <v>85</v>
      </c>
      <c r="Q29" s="184">
        <v>5200</v>
      </c>
      <c r="R29" s="16"/>
      <c r="S29" s="16"/>
      <c r="T29" s="16"/>
      <c r="U29" s="16"/>
      <c r="V29" s="16"/>
    </row>
    <row r="30" spans="1:23" x14ac:dyDescent="0.25">
      <c r="A30" s="136"/>
      <c r="B30" s="136"/>
      <c r="C30" s="136" t="s">
        <v>115</v>
      </c>
      <c r="D30" s="176">
        <v>0</v>
      </c>
      <c r="E30" s="177">
        <v>4500</v>
      </c>
      <c r="F30" s="177">
        <f t="shared" si="5"/>
        <v>-4500</v>
      </c>
      <c r="G30" s="178">
        <f t="shared" si="6"/>
        <v>0</v>
      </c>
      <c r="H30" s="29">
        <v>0</v>
      </c>
      <c r="I30" s="179">
        <v>0</v>
      </c>
      <c r="J30" s="179">
        <f t="shared" si="7"/>
        <v>0</v>
      </c>
      <c r="K30" s="180">
        <v>977.5</v>
      </c>
      <c r="L30" s="180">
        <v>0</v>
      </c>
      <c r="M30" s="180">
        <f t="shared" si="9"/>
        <v>977.5</v>
      </c>
      <c r="N30" s="182">
        <v>579</v>
      </c>
      <c r="O30" s="182">
        <v>1000</v>
      </c>
      <c r="P30" s="183">
        <f t="shared" si="8"/>
        <v>-421</v>
      </c>
      <c r="Q30" s="184">
        <v>2500</v>
      </c>
      <c r="R30" s="16"/>
      <c r="S30" s="16"/>
      <c r="T30" s="16"/>
      <c r="U30" s="16"/>
      <c r="V30" s="16"/>
    </row>
    <row r="31" spans="1:23" x14ac:dyDescent="0.25">
      <c r="A31" s="136"/>
      <c r="B31" s="136"/>
      <c r="C31" s="136" t="s">
        <v>116</v>
      </c>
      <c r="D31" s="176">
        <v>1974.4</v>
      </c>
      <c r="E31" s="177">
        <v>5500</v>
      </c>
      <c r="F31" s="177">
        <f t="shared" si="5"/>
        <v>-3525.6</v>
      </c>
      <c r="G31" s="178">
        <f t="shared" si="6"/>
        <v>0.35898000000000002</v>
      </c>
      <c r="H31" s="29">
        <v>3433.02</v>
      </c>
      <c r="I31" s="179">
        <v>0</v>
      </c>
      <c r="J31" s="179">
        <f t="shared" si="7"/>
        <v>3433.02</v>
      </c>
      <c r="K31" s="180">
        <v>2313.14</v>
      </c>
      <c r="L31" s="180">
        <v>6000</v>
      </c>
      <c r="M31" s="180">
        <f t="shared" si="9"/>
        <v>-3686.86</v>
      </c>
      <c r="N31" s="182">
        <v>6356.2</v>
      </c>
      <c r="O31" s="182">
        <v>3000</v>
      </c>
      <c r="P31" s="183">
        <f t="shared" si="8"/>
        <v>3356.2</v>
      </c>
      <c r="Q31" s="184">
        <v>5500</v>
      </c>
      <c r="R31" s="16"/>
      <c r="S31" s="16"/>
      <c r="T31" s="16"/>
      <c r="U31" s="16"/>
      <c r="V31" s="16"/>
    </row>
    <row r="32" spans="1:23" ht="13.95" customHeight="1" x14ac:dyDescent="0.25">
      <c r="A32" s="136"/>
      <c r="B32" s="136"/>
      <c r="C32" s="136" t="s">
        <v>154</v>
      </c>
      <c r="D32" s="176"/>
      <c r="E32" s="177"/>
      <c r="F32" s="177"/>
      <c r="G32" s="178"/>
      <c r="H32" s="29">
        <v>0</v>
      </c>
      <c r="I32" s="179">
        <v>0</v>
      </c>
      <c r="J32" s="179">
        <f t="shared" si="7"/>
        <v>0</v>
      </c>
      <c r="K32" s="180">
        <v>1892.64</v>
      </c>
      <c r="L32" s="180">
        <v>5000</v>
      </c>
      <c r="M32" s="180">
        <f t="shared" si="9"/>
        <v>-3107.3599999999997</v>
      </c>
      <c r="N32" s="182">
        <v>5155.04</v>
      </c>
      <c r="O32" s="182">
        <v>2000</v>
      </c>
      <c r="P32" s="183">
        <f t="shared" si="8"/>
        <v>3155.04</v>
      </c>
      <c r="Q32" s="184">
        <v>3500</v>
      </c>
      <c r="R32" s="16"/>
      <c r="S32" s="16"/>
      <c r="T32" s="16"/>
      <c r="U32" s="16"/>
      <c r="V32" s="16"/>
    </row>
    <row r="33" spans="1:22" x14ac:dyDescent="0.25">
      <c r="A33" s="136"/>
      <c r="B33" s="136"/>
      <c r="C33" s="136" t="s">
        <v>117</v>
      </c>
      <c r="D33" s="176">
        <v>18193.8</v>
      </c>
      <c r="E33" s="177">
        <v>15000</v>
      </c>
      <c r="F33" s="177">
        <f>ROUND((D33-E33),5)</f>
        <v>3193.8</v>
      </c>
      <c r="G33" s="178">
        <f>ROUND(IF(E33=0, IF(D33=0, 0, 1), D33/E33),5)</f>
        <v>1.21292</v>
      </c>
      <c r="H33" s="29">
        <v>35615.71</v>
      </c>
      <c r="I33" s="179">
        <v>30000</v>
      </c>
      <c r="J33" s="179">
        <f t="shared" si="7"/>
        <v>5615.7099999999991</v>
      </c>
      <c r="K33" s="180">
        <v>28000</v>
      </c>
      <c r="L33" s="180">
        <v>35000</v>
      </c>
      <c r="M33" s="180">
        <f t="shared" si="9"/>
        <v>-7000</v>
      </c>
      <c r="N33" s="182">
        <v>29216.13</v>
      </c>
      <c r="O33" s="182">
        <v>35000</v>
      </c>
      <c r="P33" s="183">
        <f t="shared" si="8"/>
        <v>-5783.869999999999</v>
      </c>
      <c r="Q33" s="184">
        <v>40000</v>
      </c>
      <c r="R33" s="16" t="s">
        <v>183</v>
      </c>
      <c r="S33" s="16"/>
      <c r="T33" s="16"/>
      <c r="U33" s="16"/>
      <c r="V33" s="16"/>
    </row>
    <row r="34" spans="1:22" x14ac:dyDescent="0.25">
      <c r="A34" s="136"/>
      <c r="B34" s="136"/>
      <c r="C34" s="136" t="s">
        <v>118</v>
      </c>
      <c r="D34" s="176">
        <v>0</v>
      </c>
      <c r="E34" s="177">
        <v>3000</v>
      </c>
      <c r="F34" s="177">
        <f>ROUND((D34-E34),5)</f>
        <v>-3000</v>
      </c>
      <c r="G34" s="178">
        <f>ROUND(IF(E34=0, IF(D34=0, 0, 1), D34/E34),5)</f>
        <v>0</v>
      </c>
      <c r="H34" s="29">
        <v>0</v>
      </c>
      <c r="I34" s="179">
        <v>0</v>
      </c>
      <c r="J34" s="179">
        <f t="shared" si="7"/>
        <v>0</v>
      </c>
      <c r="K34" s="180">
        <v>1551.5</v>
      </c>
      <c r="L34" s="180">
        <v>0</v>
      </c>
      <c r="M34" s="180">
        <f t="shared" si="9"/>
        <v>1551.5</v>
      </c>
      <c r="N34" s="182">
        <v>700</v>
      </c>
      <c r="O34" s="182">
        <v>1000</v>
      </c>
      <c r="P34" s="183">
        <f t="shared" si="8"/>
        <v>-300</v>
      </c>
      <c r="Q34" s="184">
        <v>1000</v>
      </c>
      <c r="R34" s="16"/>
      <c r="S34" s="16"/>
      <c r="T34" s="16"/>
      <c r="U34" s="16"/>
      <c r="V34" s="16"/>
    </row>
    <row r="35" spans="1:22" x14ac:dyDescent="0.25">
      <c r="A35" s="136"/>
      <c r="B35" s="136"/>
      <c r="C35" s="208" t="s">
        <v>134</v>
      </c>
      <c r="D35" s="176"/>
      <c r="E35" s="177"/>
      <c r="F35" s="177"/>
      <c r="G35" s="178"/>
      <c r="H35" s="29">
        <v>0</v>
      </c>
      <c r="I35" s="179">
        <v>5760</v>
      </c>
      <c r="J35" s="179">
        <f t="shared" si="7"/>
        <v>-5760</v>
      </c>
      <c r="K35" s="180"/>
      <c r="L35" s="180"/>
      <c r="M35" s="180"/>
      <c r="N35" s="182">
        <v>0</v>
      </c>
      <c r="O35" s="182"/>
      <c r="P35" s="183">
        <f t="shared" si="8"/>
        <v>0</v>
      </c>
      <c r="Q35" s="184"/>
      <c r="R35" s="16" t="s">
        <v>208</v>
      </c>
      <c r="S35" s="16"/>
      <c r="T35" s="16"/>
      <c r="U35" s="16"/>
      <c r="V35" s="16"/>
    </row>
    <row r="36" spans="1:22" x14ac:dyDescent="0.25">
      <c r="A36" s="136"/>
      <c r="B36" s="136"/>
      <c r="C36" s="136" t="s">
        <v>189</v>
      </c>
      <c r="D36" s="176"/>
      <c r="E36" s="177"/>
      <c r="F36" s="177"/>
      <c r="G36" s="178"/>
      <c r="H36" s="29"/>
      <c r="I36" s="179"/>
      <c r="J36" s="179"/>
      <c r="K36" s="180"/>
      <c r="L36" s="180"/>
      <c r="M36" s="180"/>
      <c r="N36" s="182"/>
      <c r="O36" s="182"/>
      <c r="P36" s="183"/>
      <c r="Q36" s="184">
        <v>4000</v>
      </c>
      <c r="R36" s="16"/>
      <c r="S36" s="16"/>
      <c r="T36" s="16"/>
      <c r="U36" s="16"/>
      <c r="V36" s="16"/>
    </row>
    <row r="37" spans="1:22" x14ac:dyDescent="0.25">
      <c r="A37" s="136"/>
      <c r="B37" s="136"/>
      <c r="C37" s="136" t="s">
        <v>195</v>
      </c>
      <c r="D37" s="176"/>
      <c r="E37" s="177"/>
      <c r="F37" s="177"/>
      <c r="G37" s="178"/>
      <c r="H37" s="29">
        <v>1800</v>
      </c>
      <c r="I37" s="179">
        <v>0</v>
      </c>
      <c r="J37" s="179">
        <f t="shared" si="7"/>
        <v>1800</v>
      </c>
      <c r="K37" s="180"/>
      <c r="L37" s="180"/>
      <c r="M37" s="180"/>
      <c r="N37" s="182">
        <v>0</v>
      </c>
      <c r="O37" s="182">
        <v>3000</v>
      </c>
      <c r="P37" s="183">
        <f t="shared" si="8"/>
        <v>-3000</v>
      </c>
      <c r="Q37" s="184"/>
      <c r="R37" s="16"/>
      <c r="S37" s="16"/>
      <c r="T37" s="16"/>
      <c r="U37" s="16"/>
      <c r="V37" s="16"/>
    </row>
    <row r="38" spans="1:22" x14ac:dyDescent="0.25">
      <c r="A38" s="136"/>
      <c r="B38" s="136"/>
      <c r="C38" s="136" t="s">
        <v>196</v>
      </c>
      <c r="D38" s="176"/>
      <c r="E38" s="177"/>
      <c r="F38" s="177"/>
      <c r="G38" s="178"/>
      <c r="H38" s="29">
        <v>0</v>
      </c>
      <c r="I38" s="179"/>
      <c r="J38" s="179"/>
      <c r="K38" s="180"/>
      <c r="L38" s="180"/>
      <c r="M38" s="180"/>
      <c r="N38" s="182">
        <v>1589.49</v>
      </c>
      <c r="O38" s="182">
        <v>3000</v>
      </c>
      <c r="P38" s="183">
        <f t="shared" si="8"/>
        <v>-1410.51</v>
      </c>
      <c r="Q38" s="184">
        <v>3000</v>
      </c>
      <c r="R38" s="16" t="s">
        <v>203</v>
      </c>
      <c r="S38" s="16"/>
      <c r="T38" s="16"/>
      <c r="U38" s="16"/>
      <c r="V38" s="16"/>
    </row>
    <row r="39" spans="1:22" ht="12.6" thickBot="1" x14ac:dyDescent="0.3">
      <c r="A39" s="136"/>
      <c r="B39" s="136"/>
      <c r="C39" s="136" t="s">
        <v>155</v>
      </c>
      <c r="D39" s="185"/>
      <c r="E39" s="186"/>
      <c r="F39" s="186"/>
      <c r="G39" s="187"/>
      <c r="H39" s="29">
        <v>0</v>
      </c>
      <c r="I39" s="179"/>
      <c r="J39" s="179"/>
      <c r="K39" s="180"/>
      <c r="L39" s="180"/>
      <c r="M39" s="180"/>
      <c r="N39" s="182">
        <v>338.88</v>
      </c>
      <c r="O39" s="182">
        <v>1000</v>
      </c>
      <c r="P39" s="183">
        <f t="shared" si="8"/>
        <v>-661.12</v>
      </c>
      <c r="Q39" s="184">
        <v>500</v>
      </c>
      <c r="R39" s="16"/>
      <c r="S39" s="16"/>
      <c r="T39" s="16"/>
      <c r="U39" s="16"/>
      <c r="V39" s="16"/>
    </row>
    <row r="40" spans="1:22" ht="12.6" thickBot="1" x14ac:dyDescent="0.3">
      <c r="A40" s="136"/>
      <c r="B40" s="136"/>
      <c r="C40" s="136" t="s">
        <v>156</v>
      </c>
      <c r="D40" s="185"/>
      <c r="E40" s="186"/>
      <c r="F40" s="186"/>
      <c r="G40" s="187"/>
      <c r="H40" s="29">
        <v>0</v>
      </c>
      <c r="I40" s="179"/>
      <c r="J40" s="179"/>
      <c r="K40" s="180"/>
      <c r="L40" s="180"/>
      <c r="M40" s="180"/>
      <c r="N40" s="182">
        <v>13492.5</v>
      </c>
      <c r="O40" s="182">
        <v>16000</v>
      </c>
      <c r="P40" s="183">
        <f t="shared" si="8"/>
        <v>-2507.5</v>
      </c>
      <c r="Q40" s="184">
        <v>15000</v>
      </c>
      <c r="R40" s="16"/>
      <c r="S40" s="16"/>
      <c r="T40" s="16"/>
      <c r="U40" s="16"/>
      <c r="V40" s="16"/>
    </row>
    <row r="41" spans="1:22" ht="12.6" thickBot="1" x14ac:dyDescent="0.3">
      <c r="A41" s="136"/>
      <c r="B41" s="136"/>
      <c r="C41" s="136" t="s">
        <v>157</v>
      </c>
      <c r="D41" s="185"/>
      <c r="E41" s="186"/>
      <c r="F41" s="186"/>
      <c r="G41" s="187"/>
      <c r="H41" s="29">
        <v>0</v>
      </c>
      <c r="I41" s="179"/>
      <c r="J41" s="179"/>
      <c r="K41" s="188"/>
      <c r="L41" s="188"/>
      <c r="M41" s="188"/>
      <c r="N41" s="190">
        <v>0</v>
      </c>
      <c r="O41" s="190">
        <v>1000</v>
      </c>
      <c r="P41" s="191">
        <f t="shared" si="8"/>
        <v>-1000</v>
      </c>
      <c r="Q41" s="184"/>
      <c r="R41" s="16"/>
      <c r="S41" s="16"/>
      <c r="T41" s="16"/>
      <c r="U41" s="16"/>
      <c r="V41" s="16"/>
    </row>
    <row r="42" spans="1:22" ht="12.6" thickBot="1" x14ac:dyDescent="0.3">
      <c r="A42" s="136"/>
      <c r="B42" s="136" t="s">
        <v>119</v>
      </c>
      <c r="C42" s="136"/>
      <c r="D42" s="185">
        <f>ROUND(SUM(D19:D34),5)</f>
        <v>163357.21</v>
      </c>
      <c r="E42" s="186">
        <f>ROUND(SUM(E19:E34),5)</f>
        <v>158050</v>
      </c>
      <c r="F42" s="186">
        <f>ROUND((D42-E42),5)</f>
        <v>5307.21</v>
      </c>
      <c r="G42" s="187">
        <f>ROUND(IF(E42=0, IF(D42=0, 0, 1), D42/E42),5)</f>
        <v>1.0335799999999999</v>
      </c>
      <c r="H42" s="193">
        <f>SUM(H20:H41)</f>
        <v>148539.75</v>
      </c>
      <c r="I42" s="194">
        <f>SUM(I20:I41)</f>
        <v>97960</v>
      </c>
      <c r="J42" s="195">
        <f>SUM(J20:J37)</f>
        <v>50579.75</v>
      </c>
      <c r="K42" s="188">
        <f>SUM(K20:K34)</f>
        <v>235567.31000000003</v>
      </c>
      <c r="L42" s="209">
        <f>SUM(L20:L34)</f>
        <v>184800</v>
      </c>
      <c r="M42" s="188">
        <f>SUM(M20:M34)</f>
        <v>50767.310000000005</v>
      </c>
      <c r="N42" s="190">
        <f>SUM(N20:N41)</f>
        <v>204037.41</v>
      </c>
      <c r="O42" s="190">
        <f>SUM(O20:O41)</f>
        <v>176900</v>
      </c>
      <c r="P42" s="210">
        <f t="shared" si="8"/>
        <v>27137.410000000003</v>
      </c>
      <c r="Q42" s="200">
        <f>SUM(Q20:Q41)</f>
        <v>235800</v>
      </c>
      <c r="R42" s="16"/>
      <c r="S42" s="16"/>
      <c r="T42" s="16"/>
      <c r="U42" s="16"/>
      <c r="V42" s="16"/>
    </row>
    <row r="43" spans="1:22" ht="12.6" thickBot="1" x14ac:dyDescent="0.3">
      <c r="A43" s="16"/>
      <c r="B43" s="16" t="s">
        <v>34</v>
      </c>
      <c r="C43" s="16"/>
      <c r="D43" s="201"/>
      <c r="E43" s="17"/>
      <c r="F43" s="17"/>
      <c r="G43" s="202"/>
      <c r="H43" s="211">
        <f t="shared" ref="H43:O43" si="10">+H17-H42</f>
        <v>-9061.75</v>
      </c>
      <c r="I43" s="212">
        <f t="shared" si="10"/>
        <v>3290</v>
      </c>
      <c r="J43" s="213">
        <f t="shared" si="10"/>
        <v>-12351.75</v>
      </c>
      <c r="K43" s="214">
        <f t="shared" si="10"/>
        <v>-18179.310000000027</v>
      </c>
      <c r="L43" s="214">
        <f t="shared" si="10"/>
        <v>1400</v>
      </c>
      <c r="M43" s="214">
        <f t="shared" si="10"/>
        <v>-19579.310000000005</v>
      </c>
      <c r="N43" s="215">
        <f t="shared" si="10"/>
        <v>5969.8800000000047</v>
      </c>
      <c r="O43" s="215">
        <f t="shared" si="10"/>
        <v>12707</v>
      </c>
      <c r="P43" s="210">
        <f t="shared" si="8"/>
        <v>-6737.1199999999953</v>
      </c>
      <c r="Q43" s="234">
        <f>SUM(Q17-Q42)</f>
        <v>1815</v>
      </c>
      <c r="R43" s="16"/>
      <c r="S43" s="16"/>
      <c r="T43" s="16"/>
      <c r="U43" s="16"/>
      <c r="V43" s="16"/>
    </row>
    <row r="44" spans="1:22" x14ac:dyDescent="0.25">
      <c r="A44" s="136"/>
      <c r="B44" s="136"/>
      <c r="C44" s="136" t="s">
        <v>120</v>
      </c>
      <c r="D44" s="216"/>
      <c r="E44" s="217"/>
      <c r="F44" s="217"/>
      <c r="G44" s="218"/>
      <c r="H44" s="168"/>
      <c r="I44" s="179"/>
      <c r="J44" s="219"/>
      <c r="K44" s="220"/>
      <c r="L44" s="221"/>
      <c r="M44" s="180"/>
      <c r="N44" s="182"/>
      <c r="O44" s="222"/>
      <c r="P44" s="223"/>
      <c r="Q44" s="206"/>
      <c r="R44" s="16"/>
      <c r="S44" s="16"/>
      <c r="T44" s="16"/>
      <c r="U44" s="16"/>
      <c r="V44" s="16"/>
    </row>
    <row r="45" spans="1:22" x14ac:dyDescent="0.25">
      <c r="A45" s="136"/>
      <c r="B45" s="136"/>
      <c r="C45" s="136" t="s">
        <v>121</v>
      </c>
      <c r="D45" s="176"/>
      <c r="E45" s="177"/>
      <c r="F45" s="177"/>
      <c r="G45" s="178"/>
      <c r="H45" s="168">
        <v>200.94</v>
      </c>
      <c r="I45" s="179">
        <v>0</v>
      </c>
      <c r="J45" s="219">
        <f t="shared" ref="J45:J52" si="11">+H45-I45</f>
        <v>200.94</v>
      </c>
      <c r="K45" s="220">
        <v>0</v>
      </c>
      <c r="L45" s="221">
        <v>0</v>
      </c>
      <c r="M45" s="180">
        <f>+K45-L45</f>
        <v>0</v>
      </c>
      <c r="N45" s="182"/>
      <c r="O45" s="222"/>
      <c r="P45" s="224"/>
      <c r="Q45" s="184"/>
      <c r="R45" s="16"/>
      <c r="S45" s="16"/>
      <c r="T45" s="16"/>
      <c r="U45" s="16"/>
      <c r="V45" s="16"/>
    </row>
    <row r="46" spans="1:22" x14ac:dyDescent="0.25">
      <c r="A46" s="136"/>
      <c r="B46" s="136"/>
      <c r="C46" s="136" t="s">
        <v>122</v>
      </c>
      <c r="D46" s="176">
        <v>1754.04</v>
      </c>
      <c r="E46" s="177">
        <v>11500</v>
      </c>
      <c r="F46" s="177">
        <f>ROUND((D46-E46),5)</f>
        <v>-9745.9599999999991</v>
      </c>
      <c r="G46" s="178">
        <f>ROUND(IF(E46=0, IF(D46=0, 0, 1), D46/E46),5)</f>
        <v>0.15253</v>
      </c>
      <c r="H46" s="29">
        <v>576.58000000000004</v>
      </c>
      <c r="I46" s="179">
        <v>6000</v>
      </c>
      <c r="J46" s="219">
        <f t="shared" si="11"/>
        <v>-5423.42</v>
      </c>
      <c r="K46" s="220">
        <v>11120.5</v>
      </c>
      <c r="L46" s="221">
        <v>18000</v>
      </c>
      <c r="M46" s="180">
        <f t="shared" ref="M46:M52" si="12">+K46-L46</f>
        <v>-6879.5</v>
      </c>
      <c r="N46" s="182">
        <v>0</v>
      </c>
      <c r="O46" s="222">
        <v>15000</v>
      </c>
      <c r="P46" s="224">
        <f t="shared" ref="P46:P53" si="13">+N46-O46</f>
        <v>-15000</v>
      </c>
      <c r="Q46" s="184">
        <v>7500</v>
      </c>
      <c r="R46" s="16" t="s">
        <v>171</v>
      </c>
      <c r="S46" s="16"/>
      <c r="T46" s="16"/>
      <c r="U46" s="16"/>
      <c r="V46" s="16"/>
    </row>
    <row r="47" spans="1:22" x14ac:dyDescent="0.25">
      <c r="A47" s="136"/>
      <c r="B47" s="136"/>
      <c r="C47" s="136" t="s">
        <v>123</v>
      </c>
      <c r="D47" s="176">
        <v>20723.82</v>
      </c>
      <c r="E47" s="177">
        <v>22000</v>
      </c>
      <c r="F47" s="177">
        <f>ROUND((D47-E47),5)</f>
        <v>-1276.18</v>
      </c>
      <c r="G47" s="178">
        <f>ROUND(IF(E47=0, IF(D47=0, 0, 1), D47/E47),5)</f>
        <v>0.94198999999999999</v>
      </c>
      <c r="H47" s="29">
        <v>19474.25</v>
      </c>
      <c r="I47" s="179">
        <v>6000</v>
      </c>
      <c r="J47" s="219">
        <f t="shared" si="11"/>
        <v>13474.25</v>
      </c>
      <c r="K47" s="220">
        <v>28631.21</v>
      </c>
      <c r="L47" s="221">
        <v>18000</v>
      </c>
      <c r="M47" s="180">
        <f t="shared" si="12"/>
        <v>10631.21</v>
      </c>
      <c r="N47" s="182">
        <v>14299.5</v>
      </c>
      <c r="O47" s="222">
        <v>15000</v>
      </c>
      <c r="P47" s="224">
        <f t="shared" si="13"/>
        <v>-700.5</v>
      </c>
      <c r="Q47" s="184">
        <v>10000</v>
      </c>
      <c r="R47" s="16"/>
      <c r="S47" s="16"/>
      <c r="T47" s="16"/>
      <c r="U47" s="16"/>
      <c r="V47" s="16"/>
    </row>
    <row r="48" spans="1:22" x14ac:dyDescent="0.25">
      <c r="A48" s="136"/>
      <c r="B48" s="136"/>
      <c r="C48" s="136" t="s">
        <v>124</v>
      </c>
      <c r="D48" s="176"/>
      <c r="E48" s="177"/>
      <c r="F48" s="177"/>
      <c r="G48" s="178"/>
      <c r="H48" s="29">
        <v>500</v>
      </c>
      <c r="I48" s="179">
        <v>0</v>
      </c>
      <c r="J48" s="219">
        <f t="shared" si="11"/>
        <v>500</v>
      </c>
      <c r="K48" s="220">
        <v>0</v>
      </c>
      <c r="L48" s="221">
        <v>4000</v>
      </c>
      <c r="M48" s="180">
        <f t="shared" si="12"/>
        <v>-4000</v>
      </c>
      <c r="N48" s="182">
        <v>0</v>
      </c>
      <c r="O48" s="222"/>
      <c r="P48" s="224">
        <f t="shared" si="13"/>
        <v>0</v>
      </c>
      <c r="Q48" s="184"/>
      <c r="R48" s="16"/>
      <c r="S48" s="16"/>
      <c r="T48" s="16"/>
      <c r="U48" s="16"/>
      <c r="V48" s="16"/>
    </row>
    <row r="49" spans="1:22" x14ac:dyDescent="0.25">
      <c r="A49" s="136"/>
      <c r="B49" s="136"/>
      <c r="C49" s="136" t="s">
        <v>125</v>
      </c>
      <c r="D49" s="176">
        <f>4159.08+1061.72</f>
        <v>5220.8</v>
      </c>
      <c r="E49" s="177">
        <v>6500</v>
      </c>
      <c r="F49" s="177">
        <f>ROUND((D49-E49),5)</f>
        <v>-1279.2</v>
      </c>
      <c r="G49" s="178">
        <f>ROUND(IF(E49=0, IF(D49=0, 0, 1), D49/E49),5)</f>
        <v>0.80320000000000003</v>
      </c>
      <c r="H49" s="29">
        <v>5831.44</v>
      </c>
      <c r="I49" s="179">
        <v>1000</v>
      </c>
      <c r="J49" s="219">
        <f t="shared" si="11"/>
        <v>4831.4399999999996</v>
      </c>
      <c r="K49" s="220">
        <v>2952.72</v>
      </c>
      <c r="L49" s="221">
        <v>5560</v>
      </c>
      <c r="M49" s="180">
        <f t="shared" si="12"/>
        <v>-2607.2800000000002</v>
      </c>
      <c r="N49" s="182">
        <v>2696.55</v>
      </c>
      <c r="O49" s="222">
        <v>4000</v>
      </c>
      <c r="P49" s="224">
        <f t="shared" si="13"/>
        <v>-1303.4499999999998</v>
      </c>
      <c r="Q49" s="184">
        <v>3000</v>
      </c>
      <c r="R49" s="16"/>
      <c r="S49" s="16"/>
      <c r="T49" s="16"/>
      <c r="U49" s="16"/>
      <c r="V49" s="16"/>
    </row>
    <row r="50" spans="1:22" x14ac:dyDescent="0.25">
      <c r="A50" s="136"/>
      <c r="B50" s="136"/>
      <c r="C50" s="136" t="s">
        <v>126</v>
      </c>
      <c r="D50" s="176"/>
      <c r="E50" s="177"/>
      <c r="F50" s="177"/>
      <c r="G50" s="178"/>
      <c r="H50" s="29">
        <v>1396.85</v>
      </c>
      <c r="I50" s="179">
        <v>2000</v>
      </c>
      <c r="J50" s="219">
        <f t="shared" si="11"/>
        <v>-603.15000000000009</v>
      </c>
      <c r="K50" s="220">
        <v>1845.74</v>
      </c>
      <c r="L50" s="221">
        <v>5560</v>
      </c>
      <c r="M50" s="180">
        <f t="shared" si="12"/>
        <v>-3714.26</v>
      </c>
      <c r="N50" s="182">
        <v>1.1399999999999999</v>
      </c>
      <c r="O50" s="222">
        <v>4000</v>
      </c>
      <c r="P50" s="224">
        <f t="shared" si="13"/>
        <v>-3998.86</v>
      </c>
      <c r="Q50" s="184">
        <v>2000</v>
      </c>
      <c r="R50" s="16"/>
      <c r="S50" s="16"/>
      <c r="T50" s="16"/>
      <c r="U50" s="16"/>
      <c r="V50" s="16"/>
    </row>
    <row r="51" spans="1:22" x14ac:dyDescent="0.25">
      <c r="A51" s="136"/>
      <c r="B51" s="136"/>
      <c r="C51" s="136" t="s">
        <v>127</v>
      </c>
      <c r="D51" s="176">
        <v>0</v>
      </c>
      <c r="E51" s="177">
        <v>400</v>
      </c>
      <c r="F51" s="177">
        <f>ROUND((D51-E51),5)</f>
        <v>-400</v>
      </c>
      <c r="G51" s="178">
        <f>ROUND(IF(E51=0, IF(D51=0, 0, 1), D51/E51),5)</f>
        <v>0</v>
      </c>
      <c r="H51" s="29">
        <v>0</v>
      </c>
      <c r="I51" s="179">
        <v>0</v>
      </c>
      <c r="J51" s="219">
        <f t="shared" si="11"/>
        <v>0</v>
      </c>
      <c r="K51" s="220">
        <v>0</v>
      </c>
      <c r="L51" s="221">
        <v>0</v>
      </c>
      <c r="M51" s="180">
        <f t="shared" si="12"/>
        <v>0</v>
      </c>
      <c r="N51" s="182">
        <v>0</v>
      </c>
      <c r="O51" s="222"/>
      <c r="P51" s="224">
        <f t="shared" si="13"/>
        <v>0</v>
      </c>
      <c r="Q51" s="184"/>
      <c r="R51" s="16"/>
      <c r="S51" s="16"/>
      <c r="T51" s="16"/>
      <c r="U51" s="16"/>
      <c r="V51" s="16"/>
    </row>
    <row r="52" spans="1:22" ht="12.6" thickBot="1" x14ac:dyDescent="0.3">
      <c r="A52" s="136"/>
      <c r="B52" s="136"/>
      <c r="C52" s="136" t="s">
        <v>128</v>
      </c>
      <c r="D52" s="185">
        <v>8043</v>
      </c>
      <c r="E52" s="186">
        <v>300</v>
      </c>
      <c r="F52" s="186">
        <f>ROUND((D52-E52),5)</f>
        <v>7743</v>
      </c>
      <c r="G52" s="187">
        <f>ROUND(IF(E52=0, IF(D52=0, 0, 1), D52/E52),5)</f>
        <v>26.81</v>
      </c>
      <c r="H52" s="29">
        <v>0</v>
      </c>
      <c r="I52" s="179">
        <v>0</v>
      </c>
      <c r="J52" s="219">
        <f t="shared" si="11"/>
        <v>0</v>
      </c>
      <c r="K52" s="188">
        <v>70.930000000000007</v>
      </c>
      <c r="L52" s="209">
        <v>0</v>
      </c>
      <c r="M52" s="188">
        <f t="shared" si="12"/>
        <v>70.930000000000007</v>
      </c>
      <c r="N52" s="190">
        <v>0</v>
      </c>
      <c r="O52" s="225"/>
      <c r="P52" s="226">
        <f t="shared" si="13"/>
        <v>0</v>
      </c>
      <c r="Q52" s="192"/>
      <c r="R52" s="16"/>
      <c r="S52" s="16"/>
      <c r="T52" s="16"/>
      <c r="U52" s="16"/>
      <c r="V52" s="16"/>
    </row>
    <row r="53" spans="1:22" ht="12.6" thickBot="1" x14ac:dyDescent="0.3">
      <c r="A53" s="136"/>
      <c r="B53" s="136"/>
      <c r="C53" s="136" t="s">
        <v>129</v>
      </c>
      <c r="D53" s="185">
        <f>SUM(D46:D52)</f>
        <v>35741.660000000003</v>
      </c>
      <c r="E53" s="186">
        <f>SUM(E46:E52)</f>
        <v>40700</v>
      </c>
      <c r="F53" s="186">
        <f>ROUND((D53-E53),5)</f>
        <v>-4958.34</v>
      </c>
      <c r="G53" s="187">
        <f>ROUND(IF(E53=0, IF(D53=0, 0, 1), D53/E53),5)</f>
        <v>0.87817000000000001</v>
      </c>
      <c r="H53" s="193">
        <f>SUM(H45:H52)</f>
        <v>27980.059999999998</v>
      </c>
      <c r="I53" s="194">
        <f>+SUM(I46:I52)</f>
        <v>15000</v>
      </c>
      <c r="J53" s="195">
        <f>SUM(J45:J52)</f>
        <v>12980.06</v>
      </c>
      <c r="K53" s="227">
        <f>SUM(K45:K52)</f>
        <v>44621.1</v>
      </c>
      <c r="L53" s="209">
        <f>SUM(L45:L52)</f>
        <v>51120</v>
      </c>
      <c r="M53" s="188">
        <f>SUM(M45:M52)</f>
        <v>-6498.9000000000015</v>
      </c>
      <c r="N53" s="190">
        <f>SUM(N46:N52)</f>
        <v>16997.189999999999</v>
      </c>
      <c r="O53" s="228">
        <f>SUM(O46:O52)</f>
        <v>38000</v>
      </c>
      <c r="P53" s="199">
        <f t="shared" si="13"/>
        <v>-21002.81</v>
      </c>
      <c r="Q53" s="200">
        <f>SUM(Q44:Q52)</f>
        <v>22500</v>
      </c>
      <c r="R53" s="16"/>
      <c r="S53" s="16"/>
      <c r="T53" s="16"/>
      <c r="U53" s="16"/>
      <c r="V53" s="16"/>
    </row>
    <row r="54" spans="1:22" x14ac:dyDescent="0.25">
      <c r="A54" s="16"/>
      <c r="B54" s="16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29"/>
      <c r="O54" s="229"/>
      <c r="P54" s="229"/>
      <c r="Q54" s="229"/>
      <c r="R54" s="16"/>
      <c r="S54" s="16"/>
      <c r="T54" s="16"/>
      <c r="U54" s="16"/>
      <c r="V54" s="16"/>
    </row>
    <row r="55" spans="1:22" x14ac:dyDescent="0.25">
      <c r="A55" s="16"/>
      <c r="B55" s="19" t="s">
        <v>98</v>
      </c>
      <c r="C55" s="19"/>
      <c r="D55" s="230">
        <f>+D17-D42-D53</f>
        <v>-49263.869999999995</v>
      </c>
      <c r="E55" s="230">
        <f>+E17-E42-E53</f>
        <v>-44550</v>
      </c>
      <c r="F55" s="230">
        <f>+F17-F42-F53</f>
        <v>-4713.869999999999</v>
      </c>
      <c r="G55" s="230">
        <f>+G17-G42-G53</f>
        <v>-0.9400599999999999</v>
      </c>
      <c r="H55" s="230">
        <f>+H43-H53</f>
        <v>-37041.81</v>
      </c>
      <c r="I55" s="230">
        <f>+I43-I53</f>
        <v>-11710</v>
      </c>
      <c r="J55" s="230">
        <f>+J43-J53</f>
        <v>-25331.809999999998</v>
      </c>
      <c r="K55" s="230">
        <f>+K43-K53</f>
        <v>-62800.410000000025</v>
      </c>
      <c r="L55" s="230">
        <f>+L43-L53</f>
        <v>-49720</v>
      </c>
      <c r="M55" s="230">
        <f t="shared" ref="M55" si="14">+M43+M53</f>
        <v>-26078.210000000006</v>
      </c>
      <c r="N55" s="231">
        <f>+N43-N53</f>
        <v>-11027.309999999994</v>
      </c>
      <c r="O55" s="231">
        <f>SUM(O43-O53)</f>
        <v>-25293</v>
      </c>
      <c r="P55" s="231">
        <f>+P43-P53</f>
        <v>14265.690000000006</v>
      </c>
      <c r="Q55" s="231">
        <f>+Q43-Q53</f>
        <v>-20685</v>
      </c>
      <c r="R55" s="16"/>
      <c r="S55" s="16"/>
      <c r="T55" s="16"/>
      <c r="U55" s="16"/>
      <c r="V55" s="16"/>
    </row>
    <row r="56" spans="1:22" x14ac:dyDescent="0.25">
      <c r="A56" s="16"/>
      <c r="B56" s="20"/>
      <c r="C56" s="20"/>
      <c r="D56" s="17" t="s">
        <v>130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6"/>
      <c r="Q56" s="16"/>
      <c r="R56" s="16"/>
      <c r="S56" s="16"/>
      <c r="T56" s="16"/>
      <c r="U56" s="16"/>
      <c r="V56" s="16"/>
    </row>
    <row r="57" spans="1:22" x14ac:dyDescent="0.25">
      <c r="J57" s="232"/>
      <c r="N57" s="135"/>
      <c r="S57" s="16"/>
      <c r="T57" s="16"/>
      <c r="U57" s="16"/>
      <c r="V57" s="16"/>
    </row>
    <row r="58" spans="1:22" x14ac:dyDescent="0.25">
      <c r="N58" s="135"/>
      <c r="S58" s="16"/>
      <c r="T58" s="16"/>
      <c r="U58" s="16"/>
      <c r="V58" s="16"/>
    </row>
    <row r="59" spans="1:22" x14ac:dyDescent="0.25">
      <c r="N59" s="135"/>
      <c r="S59" s="16"/>
      <c r="U59" s="16"/>
      <c r="V59" s="16"/>
    </row>
    <row r="60" spans="1:22" x14ac:dyDescent="0.25">
      <c r="N60" s="135"/>
      <c r="S60" s="16"/>
      <c r="U60" s="16"/>
    </row>
    <row r="61" spans="1:22" x14ac:dyDescent="0.25">
      <c r="N61" s="135"/>
    </row>
    <row r="62" spans="1:22" x14ac:dyDescent="0.25">
      <c r="N62" s="135"/>
    </row>
    <row r="63" spans="1:22" x14ac:dyDescent="0.25">
      <c r="N63" s="135"/>
    </row>
    <row r="64" spans="1:22" x14ac:dyDescent="0.25">
      <c r="N64" s="135"/>
    </row>
    <row r="65" spans="14:14" x14ac:dyDescent="0.25">
      <c r="N65" s="135"/>
    </row>
    <row r="66" spans="14:14" x14ac:dyDescent="0.25">
      <c r="N66" s="135"/>
    </row>
    <row r="67" spans="14:14" x14ac:dyDescent="0.25">
      <c r="N67" s="135"/>
    </row>
    <row r="68" spans="14:14" x14ac:dyDescent="0.25">
      <c r="N68" s="135"/>
    </row>
    <row r="69" spans="14:14" x14ac:dyDescent="0.25">
      <c r="N69" s="135"/>
    </row>
    <row r="70" spans="14:14" x14ac:dyDescent="0.25">
      <c r="N70" s="135"/>
    </row>
    <row r="71" spans="14:14" x14ac:dyDescent="0.25">
      <c r="N71" s="135"/>
    </row>
    <row r="72" spans="14:14" x14ac:dyDescent="0.25">
      <c r="N72" s="135"/>
    </row>
    <row r="73" spans="14:14" x14ac:dyDescent="0.25">
      <c r="N73" s="135"/>
    </row>
    <row r="74" spans="14:14" x14ac:dyDescent="0.25">
      <c r="N74" s="135"/>
    </row>
    <row r="75" spans="14:14" x14ac:dyDescent="0.25">
      <c r="N75" s="135"/>
    </row>
    <row r="76" spans="14:14" x14ac:dyDescent="0.25">
      <c r="N76" s="135"/>
    </row>
    <row r="77" spans="14:14" x14ac:dyDescent="0.25">
      <c r="N77" s="135"/>
    </row>
    <row r="78" spans="14:14" x14ac:dyDescent="0.25">
      <c r="N78" s="135"/>
    </row>
    <row r="79" spans="14:14" x14ac:dyDescent="0.25">
      <c r="N79" s="135"/>
    </row>
    <row r="80" spans="14:14" x14ac:dyDescent="0.25">
      <c r="N80" s="135"/>
    </row>
    <row r="81" spans="14:14" x14ac:dyDescent="0.25">
      <c r="N81" s="135"/>
    </row>
    <row r="82" spans="14:14" x14ac:dyDescent="0.25">
      <c r="N82" s="135"/>
    </row>
    <row r="83" spans="14:14" x14ac:dyDescent="0.25">
      <c r="N83" s="135"/>
    </row>
    <row r="84" spans="14:14" x14ac:dyDescent="0.25">
      <c r="N84" s="135"/>
    </row>
    <row r="85" spans="14:14" x14ac:dyDescent="0.25">
      <c r="N85" s="135"/>
    </row>
    <row r="86" spans="14:14" x14ac:dyDescent="0.25">
      <c r="N86" s="135"/>
    </row>
    <row r="87" spans="14:14" x14ac:dyDescent="0.25">
      <c r="N87" s="135"/>
    </row>
    <row r="88" spans="14:14" x14ac:dyDescent="0.25">
      <c r="N88" s="135"/>
    </row>
    <row r="89" spans="14:14" x14ac:dyDescent="0.25">
      <c r="N89" s="135"/>
    </row>
    <row r="90" spans="14:14" x14ac:dyDescent="0.25">
      <c r="N90" s="135"/>
    </row>
    <row r="91" spans="14:14" x14ac:dyDescent="0.25">
      <c r="N91" s="135"/>
    </row>
    <row r="92" spans="14:14" x14ac:dyDescent="0.25">
      <c r="N92" s="135"/>
    </row>
    <row r="93" spans="14:14" x14ac:dyDescent="0.25">
      <c r="N93" s="135"/>
    </row>
    <row r="94" spans="14:14" x14ac:dyDescent="0.25">
      <c r="N94" s="135"/>
    </row>
    <row r="95" spans="14:14" x14ac:dyDescent="0.25">
      <c r="N95" s="135"/>
    </row>
    <row r="96" spans="14:14" x14ac:dyDescent="0.25">
      <c r="N96" s="135"/>
    </row>
    <row r="97" spans="14:14" x14ac:dyDescent="0.25">
      <c r="N97" s="135"/>
    </row>
    <row r="98" spans="14:14" x14ac:dyDescent="0.25">
      <c r="N98" s="135"/>
    </row>
    <row r="99" spans="14:14" x14ac:dyDescent="0.25">
      <c r="N99" s="135"/>
    </row>
    <row r="100" spans="14:14" x14ac:dyDescent="0.25">
      <c r="N100" s="135"/>
    </row>
    <row r="101" spans="14:14" x14ac:dyDescent="0.25">
      <c r="N101" s="135"/>
    </row>
    <row r="102" spans="14:14" x14ac:dyDescent="0.25">
      <c r="N102" s="135"/>
    </row>
    <row r="103" spans="14:14" x14ac:dyDescent="0.25">
      <c r="N103" s="135"/>
    </row>
    <row r="104" spans="14:14" x14ac:dyDescent="0.25">
      <c r="N104" s="135"/>
    </row>
    <row r="105" spans="14:14" x14ac:dyDescent="0.25">
      <c r="N105" s="135"/>
    </row>
    <row r="106" spans="14:14" x14ac:dyDescent="0.25">
      <c r="N106" s="135"/>
    </row>
    <row r="107" spans="14:14" x14ac:dyDescent="0.25">
      <c r="N107" s="135"/>
    </row>
    <row r="108" spans="14:14" x14ac:dyDescent="0.25">
      <c r="N108" s="135"/>
    </row>
    <row r="109" spans="14:14" x14ac:dyDescent="0.25">
      <c r="N109" s="135"/>
    </row>
    <row r="110" spans="14:14" x14ac:dyDescent="0.25">
      <c r="N110" s="135"/>
    </row>
    <row r="111" spans="14:14" x14ac:dyDescent="0.25">
      <c r="N111" s="135"/>
    </row>
    <row r="112" spans="14:14" x14ac:dyDescent="0.25">
      <c r="N112" s="135"/>
    </row>
    <row r="113" spans="14:14" x14ac:dyDescent="0.25">
      <c r="N113" s="135"/>
    </row>
    <row r="114" spans="14:14" x14ac:dyDescent="0.25">
      <c r="N114" s="135"/>
    </row>
    <row r="115" spans="14:14" x14ac:dyDescent="0.25">
      <c r="N115" s="135"/>
    </row>
    <row r="116" spans="14:14" x14ac:dyDescent="0.25">
      <c r="N116" s="135"/>
    </row>
    <row r="117" spans="14:14" x14ac:dyDescent="0.25">
      <c r="N117" s="135"/>
    </row>
    <row r="118" spans="14:14" x14ac:dyDescent="0.25">
      <c r="N118" s="135"/>
    </row>
    <row r="119" spans="14:14" x14ac:dyDescent="0.25">
      <c r="N119" s="135"/>
    </row>
    <row r="120" spans="14:14" x14ac:dyDescent="0.25">
      <c r="N120" s="135"/>
    </row>
    <row r="121" spans="14:14" x14ac:dyDescent="0.25">
      <c r="N121" s="135"/>
    </row>
    <row r="122" spans="14:14" x14ac:dyDescent="0.25">
      <c r="N122" s="135"/>
    </row>
    <row r="123" spans="14:14" x14ac:dyDescent="0.25">
      <c r="N123" s="135"/>
    </row>
    <row r="124" spans="14:14" x14ac:dyDescent="0.25">
      <c r="N124" s="135"/>
    </row>
    <row r="125" spans="14:14" x14ac:dyDescent="0.25">
      <c r="N125" s="135"/>
    </row>
    <row r="126" spans="14:14" x14ac:dyDescent="0.25">
      <c r="N126" s="135"/>
    </row>
    <row r="127" spans="14:14" x14ac:dyDescent="0.25">
      <c r="N127" s="135"/>
    </row>
    <row r="128" spans="14:14" x14ac:dyDescent="0.25">
      <c r="N128" s="135"/>
    </row>
    <row r="129" spans="14:14" x14ac:dyDescent="0.25">
      <c r="N129" s="135"/>
    </row>
    <row r="130" spans="14:14" x14ac:dyDescent="0.25">
      <c r="N130" s="135"/>
    </row>
    <row r="131" spans="14:14" x14ac:dyDescent="0.25">
      <c r="N131" s="135"/>
    </row>
    <row r="132" spans="14:14" x14ac:dyDescent="0.25">
      <c r="N132" s="135"/>
    </row>
    <row r="133" spans="14:14" x14ac:dyDescent="0.25">
      <c r="N133" s="135"/>
    </row>
    <row r="134" spans="14:14" x14ac:dyDescent="0.25">
      <c r="N134" s="135"/>
    </row>
    <row r="135" spans="14:14" x14ac:dyDescent="0.25">
      <c r="N135" s="135"/>
    </row>
    <row r="136" spans="14:14" x14ac:dyDescent="0.25">
      <c r="N136" s="135"/>
    </row>
    <row r="137" spans="14:14" x14ac:dyDescent="0.25">
      <c r="N137" s="135"/>
    </row>
    <row r="138" spans="14:14" x14ac:dyDescent="0.25">
      <c r="N138" s="135"/>
    </row>
    <row r="139" spans="14:14" x14ac:dyDescent="0.25">
      <c r="N139" s="135"/>
    </row>
    <row r="140" spans="14:14" x14ac:dyDescent="0.25">
      <c r="N140" s="135"/>
    </row>
    <row r="141" spans="14:14" x14ac:dyDescent="0.25">
      <c r="N141" s="135"/>
    </row>
    <row r="142" spans="14:14" x14ac:dyDescent="0.25">
      <c r="N142" s="135"/>
    </row>
    <row r="143" spans="14:14" x14ac:dyDescent="0.25">
      <c r="N143" s="135"/>
    </row>
    <row r="144" spans="14:14" x14ac:dyDescent="0.25">
      <c r="N144" s="135"/>
    </row>
    <row r="145" spans="14:14" x14ac:dyDescent="0.25">
      <c r="N145" s="135"/>
    </row>
    <row r="146" spans="14:14" x14ac:dyDescent="0.25">
      <c r="N146" s="135"/>
    </row>
    <row r="147" spans="14:14" x14ac:dyDescent="0.25">
      <c r="N147" s="135"/>
    </row>
    <row r="148" spans="14:14" x14ac:dyDescent="0.25">
      <c r="N148" s="135"/>
    </row>
    <row r="149" spans="14:14" x14ac:dyDescent="0.25">
      <c r="N149" s="135"/>
    </row>
    <row r="150" spans="14:14" x14ac:dyDescent="0.25">
      <c r="N150" s="135"/>
    </row>
    <row r="151" spans="14:14" x14ac:dyDescent="0.25">
      <c r="N151" s="135"/>
    </row>
    <row r="152" spans="14:14" x14ac:dyDescent="0.25">
      <c r="N152" s="135"/>
    </row>
    <row r="153" spans="14:14" x14ac:dyDescent="0.25">
      <c r="N153" s="135"/>
    </row>
    <row r="154" spans="14:14" x14ac:dyDescent="0.25">
      <c r="N154" s="135"/>
    </row>
    <row r="155" spans="14:14" x14ac:dyDescent="0.25">
      <c r="N155" s="135"/>
    </row>
    <row r="156" spans="14:14" x14ac:dyDescent="0.25">
      <c r="N156" s="135"/>
    </row>
    <row r="157" spans="14:14" x14ac:dyDescent="0.25">
      <c r="N157" s="135"/>
    </row>
    <row r="158" spans="14:14" x14ac:dyDescent="0.25">
      <c r="N158" s="135"/>
    </row>
    <row r="159" spans="14:14" x14ac:dyDescent="0.25">
      <c r="N159" s="135"/>
    </row>
    <row r="160" spans="14:14" x14ac:dyDescent="0.25">
      <c r="N160" s="135"/>
    </row>
    <row r="161" spans="14:14" x14ac:dyDescent="0.25">
      <c r="N161" s="135"/>
    </row>
    <row r="162" spans="14:14" x14ac:dyDescent="0.25">
      <c r="N162" s="135"/>
    </row>
    <row r="163" spans="14:14" x14ac:dyDescent="0.25">
      <c r="N163" s="135"/>
    </row>
    <row r="164" spans="14:14" x14ac:dyDescent="0.25">
      <c r="N164" s="135"/>
    </row>
    <row r="165" spans="14:14" x14ac:dyDescent="0.25">
      <c r="N165" s="135"/>
    </row>
    <row r="166" spans="14:14" x14ac:dyDescent="0.25">
      <c r="N166" s="135"/>
    </row>
    <row r="167" spans="14:14" x14ac:dyDescent="0.25">
      <c r="N167" s="135"/>
    </row>
    <row r="168" spans="14:14" x14ac:dyDescent="0.25">
      <c r="N168" s="135"/>
    </row>
    <row r="169" spans="14:14" x14ac:dyDescent="0.25">
      <c r="N169" s="135"/>
    </row>
    <row r="170" spans="14:14" x14ac:dyDescent="0.25">
      <c r="N170" s="135"/>
    </row>
    <row r="171" spans="14:14" x14ac:dyDescent="0.25">
      <c r="N171" s="135"/>
    </row>
    <row r="172" spans="14:14" x14ac:dyDescent="0.25">
      <c r="N172" s="135"/>
    </row>
    <row r="173" spans="14:14" x14ac:dyDescent="0.25">
      <c r="N173" s="135"/>
    </row>
    <row r="174" spans="14:14" x14ac:dyDescent="0.25">
      <c r="N174" s="135"/>
    </row>
    <row r="175" spans="14:14" x14ac:dyDescent="0.25">
      <c r="N175" s="135"/>
    </row>
    <row r="176" spans="14:14" x14ac:dyDescent="0.25">
      <c r="N176" s="135"/>
    </row>
    <row r="177" spans="14:14" x14ac:dyDescent="0.25">
      <c r="N177" s="135"/>
    </row>
    <row r="178" spans="14:14" x14ac:dyDescent="0.25">
      <c r="N178" s="135"/>
    </row>
    <row r="179" spans="14:14" x14ac:dyDescent="0.25">
      <c r="N179" s="135"/>
    </row>
    <row r="180" spans="14:14" x14ac:dyDescent="0.25">
      <c r="N180" s="135"/>
    </row>
    <row r="181" spans="14:14" x14ac:dyDescent="0.25">
      <c r="N181" s="135"/>
    </row>
    <row r="182" spans="14:14" x14ac:dyDescent="0.25">
      <c r="N182" s="135"/>
    </row>
    <row r="183" spans="14:14" x14ac:dyDescent="0.25">
      <c r="N183" s="135"/>
    </row>
    <row r="184" spans="14:14" x14ac:dyDescent="0.25">
      <c r="N184" s="135"/>
    </row>
    <row r="185" spans="14:14" x14ac:dyDescent="0.25">
      <c r="N185" s="135"/>
    </row>
    <row r="186" spans="14:14" x14ac:dyDescent="0.25">
      <c r="N186" s="135"/>
    </row>
    <row r="187" spans="14:14" x14ac:dyDescent="0.25">
      <c r="N187" s="135"/>
    </row>
    <row r="188" spans="14:14" x14ac:dyDescent="0.25">
      <c r="N188" s="135"/>
    </row>
    <row r="189" spans="14:14" x14ac:dyDescent="0.25">
      <c r="N189" s="135"/>
    </row>
    <row r="190" spans="14:14" x14ac:dyDescent="0.25">
      <c r="N190" s="135"/>
    </row>
    <row r="191" spans="14:14" x14ac:dyDescent="0.25">
      <c r="N191" s="135"/>
    </row>
    <row r="192" spans="14:14" x14ac:dyDescent="0.25">
      <c r="N192" s="135"/>
    </row>
    <row r="193" spans="14:14" x14ac:dyDescent="0.25">
      <c r="N193" s="135"/>
    </row>
    <row r="194" spans="14:14" x14ac:dyDescent="0.25">
      <c r="N194" s="135"/>
    </row>
    <row r="195" spans="14:14" x14ac:dyDescent="0.25">
      <c r="N195" s="135"/>
    </row>
    <row r="196" spans="14:14" x14ac:dyDescent="0.25">
      <c r="N196" s="135"/>
    </row>
    <row r="197" spans="14:14" x14ac:dyDescent="0.25">
      <c r="N197" s="135"/>
    </row>
    <row r="198" spans="14:14" x14ac:dyDescent="0.25">
      <c r="N198" s="135"/>
    </row>
    <row r="199" spans="14:14" x14ac:dyDescent="0.25">
      <c r="N199" s="135"/>
    </row>
    <row r="200" spans="14:14" x14ac:dyDescent="0.25">
      <c r="N200" s="135"/>
    </row>
    <row r="201" spans="14:14" x14ac:dyDescent="0.25">
      <c r="N201" s="135"/>
    </row>
    <row r="202" spans="14:14" x14ac:dyDescent="0.25">
      <c r="N202" s="135"/>
    </row>
    <row r="203" spans="14:14" x14ac:dyDescent="0.25">
      <c r="N203" s="135"/>
    </row>
    <row r="204" spans="14:14" x14ac:dyDescent="0.25">
      <c r="N204" s="135"/>
    </row>
    <row r="205" spans="14:14" x14ac:dyDescent="0.25">
      <c r="N205" s="135"/>
    </row>
    <row r="206" spans="14:14" x14ac:dyDescent="0.25">
      <c r="N206" s="135"/>
    </row>
    <row r="207" spans="14:14" x14ac:dyDescent="0.25">
      <c r="N207" s="135"/>
    </row>
    <row r="208" spans="14:14" x14ac:dyDescent="0.25">
      <c r="N208" s="135"/>
    </row>
    <row r="209" spans="14:14" x14ac:dyDescent="0.25">
      <c r="N209" s="135"/>
    </row>
    <row r="210" spans="14:14" x14ac:dyDescent="0.25">
      <c r="N210" s="135"/>
    </row>
    <row r="211" spans="14:14" x14ac:dyDescent="0.25">
      <c r="N211" s="135"/>
    </row>
    <row r="212" spans="14:14" x14ac:dyDescent="0.25">
      <c r="N212" s="135"/>
    </row>
    <row r="213" spans="14:14" x14ac:dyDescent="0.25">
      <c r="N213" s="135"/>
    </row>
    <row r="214" spans="14:14" x14ac:dyDescent="0.25">
      <c r="N214" s="135"/>
    </row>
    <row r="215" spans="14:14" x14ac:dyDescent="0.25">
      <c r="N215" s="135"/>
    </row>
    <row r="216" spans="14:14" x14ac:dyDescent="0.25">
      <c r="N216" s="135"/>
    </row>
    <row r="217" spans="14:14" x14ac:dyDescent="0.25">
      <c r="N217" s="135"/>
    </row>
    <row r="218" spans="14:14" x14ac:dyDescent="0.25">
      <c r="N218" s="135"/>
    </row>
    <row r="219" spans="14:14" x14ac:dyDescent="0.25">
      <c r="N219" s="135"/>
    </row>
    <row r="220" spans="14:14" x14ac:dyDescent="0.25">
      <c r="N220" s="135"/>
    </row>
    <row r="221" spans="14:14" x14ac:dyDescent="0.25">
      <c r="N221" s="135"/>
    </row>
    <row r="222" spans="14:14" x14ac:dyDescent="0.25">
      <c r="N222" s="135"/>
    </row>
    <row r="223" spans="14:14" x14ac:dyDescent="0.25">
      <c r="N223" s="135"/>
    </row>
    <row r="224" spans="14:14" x14ac:dyDescent="0.25">
      <c r="N224" s="135"/>
    </row>
    <row r="225" spans="14:14" x14ac:dyDescent="0.25">
      <c r="N225" s="135"/>
    </row>
    <row r="226" spans="14:14" x14ac:dyDescent="0.25">
      <c r="N226" s="135"/>
    </row>
    <row r="227" spans="14:14" x14ac:dyDescent="0.25">
      <c r="N227" s="135"/>
    </row>
    <row r="228" spans="14:14" x14ac:dyDescent="0.25">
      <c r="N228" s="135"/>
    </row>
    <row r="229" spans="14:14" x14ac:dyDescent="0.25">
      <c r="N229" s="135"/>
    </row>
    <row r="230" spans="14:14" x14ac:dyDescent="0.25">
      <c r="N230" s="135"/>
    </row>
    <row r="231" spans="14:14" x14ac:dyDescent="0.25">
      <c r="N231" s="135"/>
    </row>
    <row r="232" spans="14:14" x14ac:dyDescent="0.25">
      <c r="N232" s="135"/>
    </row>
    <row r="233" spans="14:14" x14ac:dyDescent="0.25">
      <c r="N233" s="135"/>
    </row>
    <row r="234" spans="14:14" x14ac:dyDescent="0.25">
      <c r="N234" s="135"/>
    </row>
    <row r="235" spans="14:14" x14ac:dyDescent="0.25">
      <c r="N235" s="135"/>
    </row>
    <row r="236" spans="14:14" x14ac:dyDescent="0.25">
      <c r="N236" s="135"/>
    </row>
    <row r="237" spans="14:14" x14ac:dyDescent="0.25">
      <c r="N237" s="135"/>
    </row>
    <row r="238" spans="14:14" x14ac:dyDescent="0.25">
      <c r="N238" s="135"/>
    </row>
    <row r="239" spans="14:14" x14ac:dyDescent="0.25">
      <c r="N239" s="135"/>
    </row>
    <row r="240" spans="14:14" x14ac:dyDescent="0.25">
      <c r="N240" s="135"/>
    </row>
    <row r="241" spans="14:14" x14ac:dyDescent="0.25">
      <c r="N241" s="135"/>
    </row>
    <row r="242" spans="14:14" x14ac:dyDescent="0.25">
      <c r="N242" s="135"/>
    </row>
    <row r="243" spans="14:14" x14ac:dyDescent="0.25">
      <c r="N243" s="135"/>
    </row>
    <row r="244" spans="14:14" x14ac:dyDescent="0.25">
      <c r="N244" s="135"/>
    </row>
    <row r="245" spans="14:14" x14ac:dyDescent="0.25">
      <c r="N245" s="135"/>
    </row>
    <row r="246" spans="14:14" x14ac:dyDescent="0.25">
      <c r="N246" s="135"/>
    </row>
    <row r="247" spans="14:14" x14ac:dyDescent="0.25">
      <c r="N247" s="135"/>
    </row>
    <row r="248" spans="14:14" x14ac:dyDescent="0.25">
      <c r="N248" s="135"/>
    </row>
    <row r="249" spans="14:14" x14ac:dyDescent="0.25">
      <c r="N249" s="135"/>
    </row>
    <row r="250" spans="14:14" x14ac:dyDescent="0.25">
      <c r="N250" s="135"/>
    </row>
    <row r="251" spans="14:14" x14ac:dyDescent="0.25">
      <c r="N251" s="135"/>
    </row>
    <row r="252" spans="14:14" x14ac:dyDescent="0.25">
      <c r="N252" s="135"/>
    </row>
    <row r="253" spans="14:14" x14ac:dyDescent="0.25">
      <c r="N253" s="135"/>
    </row>
    <row r="254" spans="14:14" x14ac:dyDescent="0.25">
      <c r="N254" s="135"/>
    </row>
    <row r="255" spans="14:14" x14ac:dyDescent="0.25">
      <c r="N255" s="135"/>
    </row>
    <row r="256" spans="14:14" x14ac:dyDescent="0.25">
      <c r="N256" s="135"/>
    </row>
    <row r="257" spans="14:14" x14ac:dyDescent="0.25">
      <c r="N257" s="135"/>
    </row>
    <row r="258" spans="14:14" x14ac:dyDescent="0.25">
      <c r="N258" s="135"/>
    </row>
    <row r="259" spans="14:14" x14ac:dyDescent="0.25">
      <c r="N259" s="135"/>
    </row>
    <row r="260" spans="14:14" x14ac:dyDescent="0.25">
      <c r="N260" s="135"/>
    </row>
    <row r="261" spans="14:14" x14ac:dyDescent="0.25">
      <c r="N261" s="135"/>
    </row>
    <row r="262" spans="14:14" x14ac:dyDescent="0.25">
      <c r="N262" s="135"/>
    </row>
    <row r="263" spans="14:14" x14ac:dyDescent="0.25">
      <c r="N263" s="135"/>
    </row>
    <row r="264" spans="14:14" x14ac:dyDescent="0.25">
      <c r="N264" s="135"/>
    </row>
    <row r="265" spans="14:14" x14ac:dyDescent="0.25">
      <c r="N265" s="135"/>
    </row>
    <row r="266" spans="14:14" x14ac:dyDescent="0.25">
      <c r="N266" s="135"/>
    </row>
    <row r="267" spans="14:14" x14ac:dyDescent="0.25">
      <c r="N267" s="135"/>
    </row>
    <row r="268" spans="14:14" x14ac:dyDescent="0.25">
      <c r="N268" s="135"/>
    </row>
    <row r="269" spans="14:14" x14ac:dyDescent="0.25">
      <c r="N269" s="135"/>
    </row>
    <row r="270" spans="14:14" x14ac:dyDescent="0.25">
      <c r="N270" s="135"/>
    </row>
    <row r="271" spans="14:14" x14ac:dyDescent="0.25">
      <c r="N271" s="135"/>
    </row>
    <row r="272" spans="14:14" x14ac:dyDescent="0.25">
      <c r="N272" s="135"/>
    </row>
    <row r="273" spans="14:14" x14ac:dyDescent="0.25">
      <c r="N273" s="135"/>
    </row>
    <row r="274" spans="14:14" x14ac:dyDescent="0.25">
      <c r="N274" s="135"/>
    </row>
    <row r="275" spans="14:14" x14ac:dyDescent="0.25">
      <c r="N275" s="135"/>
    </row>
    <row r="276" spans="14:14" x14ac:dyDescent="0.25">
      <c r="N276" s="135"/>
    </row>
    <row r="277" spans="14:14" x14ac:dyDescent="0.25">
      <c r="N277" s="135"/>
    </row>
    <row r="278" spans="14:14" x14ac:dyDescent="0.25">
      <c r="N278" s="135"/>
    </row>
    <row r="279" spans="14:14" x14ac:dyDescent="0.25">
      <c r="N279" s="135"/>
    </row>
    <row r="280" spans="14:14" x14ac:dyDescent="0.25">
      <c r="N280" s="135"/>
    </row>
    <row r="281" spans="14:14" x14ac:dyDescent="0.25">
      <c r="N281" s="135"/>
    </row>
    <row r="282" spans="14:14" x14ac:dyDescent="0.25">
      <c r="N282" s="135"/>
    </row>
    <row r="283" spans="14:14" x14ac:dyDescent="0.25">
      <c r="N283" s="135"/>
    </row>
    <row r="284" spans="14:14" x14ac:dyDescent="0.25">
      <c r="N284" s="135"/>
    </row>
    <row r="285" spans="14:14" x14ac:dyDescent="0.25">
      <c r="N285" s="135"/>
    </row>
    <row r="286" spans="14:14" x14ac:dyDescent="0.25">
      <c r="N286" s="135"/>
    </row>
    <row r="287" spans="14:14" x14ac:dyDescent="0.25">
      <c r="N287" s="135"/>
    </row>
    <row r="288" spans="14:14" x14ac:dyDescent="0.25">
      <c r="N288" s="135"/>
    </row>
    <row r="289" spans="14:14" x14ac:dyDescent="0.25">
      <c r="N289" s="135"/>
    </row>
    <row r="290" spans="14:14" x14ac:dyDescent="0.25">
      <c r="N290" s="135"/>
    </row>
    <row r="291" spans="14:14" x14ac:dyDescent="0.25">
      <c r="N291" s="135"/>
    </row>
    <row r="292" spans="14:14" x14ac:dyDescent="0.25">
      <c r="N292" s="135"/>
    </row>
    <row r="293" spans="14:14" x14ac:dyDescent="0.25">
      <c r="N293" s="135"/>
    </row>
    <row r="294" spans="14:14" x14ac:dyDescent="0.25">
      <c r="N294" s="135"/>
    </row>
    <row r="295" spans="14:14" x14ac:dyDescent="0.25">
      <c r="N295" s="135"/>
    </row>
    <row r="296" spans="14:14" x14ac:dyDescent="0.25">
      <c r="N296" s="135"/>
    </row>
    <row r="297" spans="14:14" x14ac:dyDescent="0.25">
      <c r="N297" s="135"/>
    </row>
    <row r="298" spans="14:14" x14ac:dyDescent="0.25">
      <c r="N298" s="135"/>
    </row>
    <row r="299" spans="14:14" x14ac:dyDescent="0.25">
      <c r="N299" s="135"/>
    </row>
    <row r="300" spans="14:14" x14ac:dyDescent="0.25">
      <c r="N300" s="135"/>
    </row>
    <row r="301" spans="14:14" x14ac:dyDescent="0.25">
      <c r="N301" s="135"/>
    </row>
    <row r="302" spans="14:14" x14ac:dyDescent="0.25">
      <c r="N302" s="135"/>
    </row>
    <row r="303" spans="14:14" x14ac:dyDescent="0.25">
      <c r="N303" s="135"/>
    </row>
    <row r="304" spans="14:14" x14ac:dyDescent="0.25">
      <c r="N304" s="135"/>
    </row>
    <row r="305" spans="14:14" x14ac:dyDescent="0.25">
      <c r="N305" s="135"/>
    </row>
    <row r="306" spans="14:14" x14ac:dyDescent="0.25">
      <c r="N306" s="135"/>
    </row>
    <row r="307" spans="14:14" x14ac:dyDescent="0.25">
      <c r="N307" s="135"/>
    </row>
    <row r="308" spans="14:14" x14ac:dyDescent="0.25">
      <c r="N308" s="135"/>
    </row>
    <row r="309" spans="14:14" x14ac:dyDescent="0.25">
      <c r="N309" s="135"/>
    </row>
    <row r="310" spans="14:14" x14ac:dyDescent="0.25">
      <c r="N310" s="135"/>
    </row>
    <row r="311" spans="14:14" x14ac:dyDescent="0.25">
      <c r="N311" s="135"/>
    </row>
    <row r="312" spans="14:14" x14ac:dyDescent="0.25">
      <c r="N312" s="135"/>
    </row>
    <row r="313" spans="14:14" x14ac:dyDescent="0.25">
      <c r="N313" s="135"/>
    </row>
    <row r="314" spans="14:14" x14ac:dyDescent="0.25">
      <c r="N314" s="135"/>
    </row>
    <row r="315" spans="14:14" x14ac:dyDescent="0.25">
      <c r="N315" s="135"/>
    </row>
    <row r="316" spans="14:14" x14ac:dyDescent="0.25">
      <c r="N316" s="135"/>
    </row>
    <row r="317" spans="14:14" x14ac:dyDescent="0.25">
      <c r="N317" s="135"/>
    </row>
    <row r="318" spans="14:14" x14ac:dyDescent="0.25">
      <c r="N318" s="135"/>
    </row>
    <row r="319" spans="14:14" x14ac:dyDescent="0.25">
      <c r="N319" s="135"/>
    </row>
    <row r="320" spans="14:14" x14ac:dyDescent="0.25">
      <c r="N320" s="135"/>
    </row>
    <row r="321" spans="14:14" x14ac:dyDescent="0.25">
      <c r="N321" s="135"/>
    </row>
    <row r="322" spans="14:14" x14ac:dyDescent="0.25">
      <c r="N322" s="135"/>
    </row>
    <row r="323" spans="14:14" x14ac:dyDescent="0.25">
      <c r="N323" s="135"/>
    </row>
    <row r="324" spans="14:14" x14ac:dyDescent="0.25">
      <c r="N324" s="135"/>
    </row>
    <row r="325" spans="14:14" x14ac:dyDescent="0.25">
      <c r="N325" s="135"/>
    </row>
    <row r="326" spans="14:14" x14ac:dyDescent="0.25">
      <c r="N326" s="135"/>
    </row>
    <row r="327" spans="14:14" x14ac:dyDescent="0.25">
      <c r="N327" s="135"/>
    </row>
    <row r="328" spans="14:14" x14ac:dyDescent="0.25">
      <c r="N328" s="135"/>
    </row>
    <row r="329" spans="14:14" x14ac:dyDescent="0.25">
      <c r="N329" s="135"/>
    </row>
    <row r="330" spans="14:14" x14ac:dyDescent="0.25">
      <c r="N330" s="135"/>
    </row>
    <row r="331" spans="14:14" x14ac:dyDescent="0.25">
      <c r="N331" s="135"/>
    </row>
    <row r="332" spans="14:14" x14ac:dyDescent="0.25">
      <c r="N332" s="135"/>
    </row>
    <row r="333" spans="14:14" x14ac:dyDescent="0.25">
      <c r="N333" s="135"/>
    </row>
    <row r="334" spans="14:14" x14ac:dyDescent="0.25">
      <c r="N334" s="135"/>
    </row>
    <row r="335" spans="14:14" x14ac:dyDescent="0.25">
      <c r="N335" s="135"/>
    </row>
    <row r="336" spans="14:14" x14ac:dyDescent="0.25">
      <c r="N336" s="135"/>
    </row>
    <row r="337" spans="14:14" x14ac:dyDescent="0.25">
      <c r="N337" s="135"/>
    </row>
    <row r="338" spans="14:14" x14ac:dyDescent="0.25">
      <c r="N338" s="135"/>
    </row>
    <row r="339" spans="14:14" x14ac:dyDescent="0.25">
      <c r="N339" s="135"/>
    </row>
    <row r="340" spans="14:14" x14ac:dyDescent="0.25">
      <c r="N340" s="135"/>
    </row>
    <row r="341" spans="14:14" x14ac:dyDescent="0.25">
      <c r="N341" s="135"/>
    </row>
    <row r="342" spans="14:14" x14ac:dyDescent="0.25">
      <c r="N342" s="135"/>
    </row>
    <row r="343" spans="14:14" x14ac:dyDescent="0.25">
      <c r="N343" s="135"/>
    </row>
    <row r="344" spans="14:14" x14ac:dyDescent="0.25">
      <c r="N344" s="135"/>
    </row>
    <row r="345" spans="14:14" x14ac:dyDescent="0.25">
      <c r="N345" s="135"/>
    </row>
    <row r="346" spans="14:14" x14ac:dyDescent="0.25">
      <c r="N346" s="135"/>
    </row>
    <row r="347" spans="14:14" x14ac:dyDescent="0.25">
      <c r="N347" s="135"/>
    </row>
    <row r="348" spans="14:14" x14ac:dyDescent="0.25">
      <c r="N348" s="135"/>
    </row>
    <row r="349" spans="14:14" x14ac:dyDescent="0.25">
      <c r="N349" s="135"/>
    </row>
    <row r="350" spans="14:14" x14ac:dyDescent="0.25">
      <c r="N350" s="135"/>
    </row>
    <row r="351" spans="14:14" x14ac:dyDescent="0.25">
      <c r="N351" s="135"/>
    </row>
    <row r="352" spans="14:14" x14ac:dyDescent="0.25">
      <c r="N352" s="135"/>
    </row>
    <row r="353" spans="14:14" x14ac:dyDescent="0.25">
      <c r="N353" s="135"/>
    </row>
    <row r="354" spans="14:14" x14ac:dyDescent="0.25">
      <c r="N354" s="135"/>
    </row>
    <row r="355" spans="14:14" x14ac:dyDescent="0.25">
      <c r="N355" s="135"/>
    </row>
    <row r="356" spans="14:14" x14ac:dyDescent="0.25">
      <c r="N356" s="135"/>
    </row>
    <row r="357" spans="14:14" x14ac:dyDescent="0.25">
      <c r="N357" s="135"/>
    </row>
    <row r="358" spans="14:14" x14ac:dyDescent="0.25">
      <c r="N358" s="135"/>
    </row>
    <row r="359" spans="14:14" x14ac:dyDescent="0.25">
      <c r="N359" s="135"/>
    </row>
    <row r="360" spans="14:14" x14ac:dyDescent="0.25">
      <c r="N360" s="135"/>
    </row>
    <row r="361" spans="14:14" x14ac:dyDescent="0.25">
      <c r="N361" s="135"/>
    </row>
    <row r="362" spans="14:14" x14ac:dyDescent="0.25">
      <c r="N362" s="135"/>
    </row>
    <row r="363" spans="14:14" x14ac:dyDescent="0.25">
      <c r="N363" s="135"/>
    </row>
    <row r="364" spans="14:14" x14ac:dyDescent="0.25">
      <c r="N364" s="135"/>
    </row>
    <row r="365" spans="14:14" x14ac:dyDescent="0.25">
      <c r="N365" s="135"/>
    </row>
    <row r="366" spans="14:14" x14ac:dyDescent="0.25">
      <c r="N366" s="135"/>
    </row>
    <row r="367" spans="14:14" x14ac:dyDescent="0.25">
      <c r="N367" s="135"/>
    </row>
    <row r="368" spans="14:14" x14ac:dyDescent="0.25">
      <c r="N368" s="135"/>
    </row>
    <row r="369" spans="14:14" x14ac:dyDescent="0.25">
      <c r="N369" s="135"/>
    </row>
    <row r="370" spans="14:14" x14ac:dyDescent="0.25">
      <c r="N370" s="135"/>
    </row>
    <row r="371" spans="14:14" x14ac:dyDescent="0.25">
      <c r="N371" s="135"/>
    </row>
    <row r="372" spans="14:14" x14ac:dyDescent="0.25">
      <c r="N372" s="135"/>
    </row>
    <row r="373" spans="14:14" x14ac:dyDescent="0.25">
      <c r="N373" s="135"/>
    </row>
    <row r="374" spans="14:14" x14ac:dyDescent="0.25">
      <c r="N374" s="135"/>
    </row>
    <row r="375" spans="14:14" x14ac:dyDescent="0.25">
      <c r="N375" s="135"/>
    </row>
    <row r="376" spans="14:14" x14ac:dyDescent="0.25">
      <c r="N376" s="135"/>
    </row>
    <row r="377" spans="14:14" x14ac:dyDescent="0.25">
      <c r="N377" s="135"/>
    </row>
    <row r="378" spans="14:14" x14ac:dyDescent="0.25">
      <c r="N378" s="135"/>
    </row>
    <row r="379" spans="14:14" x14ac:dyDescent="0.25">
      <c r="N379" s="135"/>
    </row>
    <row r="380" spans="14:14" x14ac:dyDescent="0.25">
      <c r="N380" s="135"/>
    </row>
    <row r="381" spans="14:14" x14ac:dyDescent="0.25">
      <c r="N381" s="135"/>
    </row>
    <row r="382" spans="14:14" x14ac:dyDescent="0.25">
      <c r="N382" s="135"/>
    </row>
    <row r="383" spans="14:14" x14ac:dyDescent="0.25">
      <c r="N383" s="135"/>
    </row>
    <row r="384" spans="14:14" x14ac:dyDescent="0.25">
      <c r="N384" s="135"/>
    </row>
    <row r="385" spans="14:14" x14ac:dyDescent="0.25">
      <c r="N385" s="135"/>
    </row>
    <row r="386" spans="14:14" x14ac:dyDescent="0.25">
      <c r="N386" s="135"/>
    </row>
    <row r="387" spans="14:14" x14ac:dyDescent="0.25">
      <c r="N387" s="135"/>
    </row>
    <row r="388" spans="14:14" x14ac:dyDescent="0.25">
      <c r="N388" s="135"/>
    </row>
    <row r="389" spans="14:14" x14ac:dyDescent="0.25">
      <c r="N389" s="135"/>
    </row>
    <row r="390" spans="14:14" x14ac:dyDescent="0.25">
      <c r="N390" s="135"/>
    </row>
    <row r="391" spans="14:14" x14ac:dyDescent="0.25">
      <c r="N391" s="135"/>
    </row>
    <row r="392" spans="14:14" x14ac:dyDescent="0.25">
      <c r="N392" s="135"/>
    </row>
    <row r="393" spans="14:14" x14ac:dyDescent="0.25">
      <c r="N393" s="135"/>
    </row>
    <row r="394" spans="14:14" x14ac:dyDescent="0.25">
      <c r="N394" s="135"/>
    </row>
    <row r="395" spans="14:14" x14ac:dyDescent="0.25">
      <c r="N395" s="135"/>
    </row>
    <row r="396" spans="14:14" x14ac:dyDescent="0.25">
      <c r="N396" s="135"/>
    </row>
    <row r="397" spans="14:14" x14ac:dyDescent="0.25">
      <c r="N397" s="135"/>
    </row>
    <row r="398" spans="14:14" x14ac:dyDescent="0.25">
      <c r="N398" s="135"/>
    </row>
    <row r="399" spans="14:14" x14ac:dyDescent="0.25">
      <c r="N399" s="135"/>
    </row>
    <row r="400" spans="14:14" x14ac:dyDescent="0.25">
      <c r="N400" s="135"/>
    </row>
    <row r="401" spans="14:14" x14ac:dyDescent="0.25">
      <c r="N401" s="135"/>
    </row>
    <row r="402" spans="14:14" x14ac:dyDescent="0.25">
      <c r="N402" s="135"/>
    </row>
    <row r="403" spans="14:14" x14ac:dyDescent="0.25">
      <c r="N403" s="135"/>
    </row>
    <row r="404" spans="14:14" x14ac:dyDescent="0.25">
      <c r="N404" s="135"/>
    </row>
    <row r="405" spans="14:14" x14ac:dyDescent="0.25">
      <c r="N405" s="135"/>
    </row>
    <row r="406" spans="14:14" x14ac:dyDescent="0.25">
      <c r="N406" s="135"/>
    </row>
    <row r="407" spans="14:14" x14ac:dyDescent="0.25">
      <c r="N407" s="135"/>
    </row>
    <row r="408" spans="14:14" x14ac:dyDescent="0.25">
      <c r="N408" s="135"/>
    </row>
    <row r="409" spans="14:14" x14ac:dyDescent="0.25">
      <c r="N409" s="135"/>
    </row>
    <row r="410" spans="14:14" x14ac:dyDescent="0.25">
      <c r="N410" s="135"/>
    </row>
    <row r="411" spans="14:14" x14ac:dyDescent="0.25">
      <c r="N411" s="135"/>
    </row>
    <row r="412" spans="14:14" x14ac:dyDescent="0.25">
      <c r="N412" s="135"/>
    </row>
    <row r="413" spans="14:14" x14ac:dyDescent="0.25">
      <c r="N413" s="135"/>
    </row>
    <row r="414" spans="14:14" x14ac:dyDescent="0.25">
      <c r="N414" s="135"/>
    </row>
    <row r="415" spans="14:14" x14ac:dyDescent="0.25">
      <c r="N415" s="135"/>
    </row>
    <row r="416" spans="14:14" x14ac:dyDescent="0.25">
      <c r="N416" s="135"/>
    </row>
    <row r="417" spans="14:14" x14ac:dyDescent="0.25">
      <c r="N417" s="135"/>
    </row>
    <row r="418" spans="14:14" x14ac:dyDescent="0.25">
      <c r="N418" s="135"/>
    </row>
    <row r="419" spans="14:14" x14ac:dyDescent="0.25">
      <c r="N419" s="135"/>
    </row>
    <row r="420" spans="14:14" x14ac:dyDescent="0.25">
      <c r="N420" s="135"/>
    </row>
    <row r="421" spans="14:14" x14ac:dyDescent="0.25">
      <c r="N421" s="135"/>
    </row>
    <row r="422" spans="14:14" x14ac:dyDescent="0.25">
      <c r="N422" s="135"/>
    </row>
    <row r="423" spans="14:14" x14ac:dyDescent="0.25">
      <c r="N423" s="135"/>
    </row>
    <row r="424" spans="14:14" x14ac:dyDescent="0.25">
      <c r="N424" s="135"/>
    </row>
    <row r="425" spans="14:14" x14ac:dyDescent="0.25">
      <c r="N425" s="135"/>
    </row>
    <row r="426" spans="14:14" x14ac:dyDescent="0.25">
      <c r="N426" s="135"/>
    </row>
    <row r="427" spans="14:14" x14ac:dyDescent="0.25">
      <c r="N427" s="135"/>
    </row>
    <row r="428" spans="14:14" x14ac:dyDescent="0.25">
      <c r="N428" s="135"/>
    </row>
    <row r="429" spans="14:14" x14ac:dyDescent="0.25">
      <c r="N429" s="135"/>
    </row>
    <row r="430" spans="14:14" x14ac:dyDescent="0.25">
      <c r="N430" s="135"/>
    </row>
    <row r="431" spans="14:14" x14ac:dyDescent="0.25">
      <c r="N431" s="135"/>
    </row>
    <row r="432" spans="14:14" x14ac:dyDescent="0.25">
      <c r="N432" s="135"/>
    </row>
    <row r="433" spans="14:14" x14ac:dyDescent="0.25">
      <c r="N433" s="135"/>
    </row>
    <row r="434" spans="14:14" x14ac:dyDescent="0.25">
      <c r="N434" s="135"/>
    </row>
    <row r="435" spans="14:14" x14ac:dyDescent="0.25">
      <c r="N435" s="135"/>
    </row>
    <row r="436" spans="14:14" x14ac:dyDescent="0.25">
      <c r="N436" s="135"/>
    </row>
    <row r="437" spans="14:14" x14ac:dyDescent="0.25">
      <c r="N437" s="135"/>
    </row>
    <row r="438" spans="14:14" x14ac:dyDescent="0.25">
      <c r="N438" s="135"/>
    </row>
    <row r="439" spans="14:14" x14ac:dyDescent="0.25">
      <c r="N439" s="135"/>
    </row>
    <row r="440" spans="14:14" x14ac:dyDescent="0.25">
      <c r="N440" s="135"/>
    </row>
    <row r="441" spans="14:14" x14ac:dyDescent="0.25">
      <c r="N441" s="135"/>
    </row>
    <row r="442" spans="14:14" x14ac:dyDescent="0.25">
      <c r="N442" s="135"/>
    </row>
    <row r="443" spans="14:14" x14ac:dyDescent="0.25">
      <c r="N443" s="135"/>
    </row>
    <row r="444" spans="14:14" x14ac:dyDescent="0.25">
      <c r="N444" s="135"/>
    </row>
    <row r="445" spans="14:14" x14ac:dyDescent="0.25">
      <c r="N445" s="135"/>
    </row>
    <row r="446" spans="14:14" x14ac:dyDescent="0.25">
      <c r="N446" s="135"/>
    </row>
    <row r="447" spans="14:14" x14ac:dyDescent="0.25">
      <c r="N447" s="135"/>
    </row>
    <row r="448" spans="14:14" x14ac:dyDescent="0.25">
      <c r="N448" s="135"/>
    </row>
  </sheetData>
  <mergeCells count="4">
    <mergeCell ref="D2:G2"/>
    <mergeCell ref="H2:J2"/>
    <mergeCell ref="K2:M2"/>
    <mergeCell ref="N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7EAE-60E8-47EE-9897-647529A6D25B}">
  <dimension ref="A1:I30"/>
  <sheetViews>
    <sheetView tabSelected="1" workbookViewId="0">
      <selection activeCell="J15" sqref="J15"/>
    </sheetView>
  </sheetViews>
  <sheetFormatPr defaultColWidth="8.88671875" defaultRowHeight="12" x14ac:dyDescent="0.25"/>
  <cols>
    <col min="1" max="1" width="17.33203125" style="135" bestFit="1" customWidth="1"/>
    <col min="2" max="2" width="17.44140625" style="135" customWidth="1"/>
    <col min="3" max="3" width="20.33203125" style="241" customWidth="1"/>
    <col min="4" max="8" width="8.88671875" style="135"/>
    <col min="9" max="9" width="5.6640625" style="135" customWidth="1"/>
    <col min="10" max="16384" width="8.88671875" style="135"/>
  </cols>
  <sheetData>
    <row r="1" spans="1:9" ht="28.2" customHeight="1" x14ac:dyDescent="0.4">
      <c r="A1" s="279" t="s">
        <v>228</v>
      </c>
      <c r="B1" s="279"/>
      <c r="C1" s="279"/>
      <c r="D1" s="279"/>
      <c r="E1" s="279"/>
      <c r="F1" s="279"/>
      <c r="G1" s="279"/>
      <c r="H1" s="279"/>
      <c r="I1" s="279"/>
    </row>
    <row r="2" spans="1:9" s="238" customFormat="1" ht="28.2" customHeight="1" x14ac:dyDescent="0.25">
      <c r="A2" s="235" t="s">
        <v>225</v>
      </c>
      <c r="B2" s="237"/>
      <c r="C2" s="240" t="s">
        <v>226</v>
      </c>
      <c r="D2" s="278" t="s">
        <v>227</v>
      </c>
      <c r="E2" s="278"/>
      <c r="F2" s="278" t="s">
        <v>229</v>
      </c>
      <c r="G2" s="278"/>
      <c r="H2" s="278" t="s">
        <v>256</v>
      </c>
      <c r="I2" s="278"/>
    </row>
    <row r="3" spans="1:9" x14ac:dyDescent="0.25">
      <c r="A3" s="294" t="s">
        <v>250</v>
      </c>
      <c r="B3" s="294"/>
      <c r="C3" s="323"/>
      <c r="D3" s="323"/>
      <c r="E3" s="323"/>
      <c r="F3" s="323"/>
      <c r="G3" s="323"/>
      <c r="H3" s="323"/>
      <c r="I3" s="323"/>
    </row>
    <row r="4" spans="1:9" x14ac:dyDescent="0.25">
      <c r="A4" s="319" t="s">
        <v>231</v>
      </c>
      <c r="B4" s="319"/>
      <c r="C4" s="242">
        <v>45330.3</v>
      </c>
      <c r="D4" s="288">
        <v>350884.09</v>
      </c>
      <c r="E4" s="288"/>
      <c r="F4" s="288">
        <v>-305553.78999999998</v>
      </c>
      <c r="G4" s="288"/>
      <c r="H4" s="290">
        <v>-0.87080000000000002</v>
      </c>
      <c r="I4" s="290"/>
    </row>
    <row r="5" spans="1:9" x14ac:dyDescent="0.25">
      <c r="A5" s="319" t="s">
        <v>232</v>
      </c>
      <c r="B5" s="319"/>
      <c r="C5" s="242">
        <v>5017.2</v>
      </c>
      <c r="D5" s="288">
        <v>5014.68</v>
      </c>
      <c r="E5" s="288"/>
      <c r="F5" s="289">
        <v>2.52</v>
      </c>
      <c r="G5" s="289"/>
      <c r="H5" s="290">
        <v>5.0000000000000001E-4</v>
      </c>
      <c r="I5" s="290"/>
    </row>
    <row r="6" spans="1:9" x14ac:dyDescent="0.25">
      <c r="A6" s="319" t="s">
        <v>257</v>
      </c>
      <c r="B6" s="319"/>
      <c r="C6" s="242">
        <v>326000</v>
      </c>
      <c r="D6" s="322"/>
      <c r="E6" s="322"/>
      <c r="F6" s="288">
        <v>326000</v>
      </c>
      <c r="G6" s="288"/>
      <c r="H6" s="322"/>
      <c r="I6" s="322"/>
    </row>
    <row r="7" spans="1:9" x14ac:dyDescent="0.25">
      <c r="A7" s="319" t="s">
        <v>233</v>
      </c>
      <c r="B7" s="319"/>
      <c r="C7" s="242">
        <v>-3004.75</v>
      </c>
      <c r="D7" s="288">
        <v>-2654.75</v>
      </c>
      <c r="E7" s="288"/>
      <c r="F7" s="289">
        <v>-350</v>
      </c>
      <c r="G7" s="289"/>
      <c r="H7" s="290">
        <v>-0.1318</v>
      </c>
      <c r="I7" s="290"/>
    </row>
    <row r="8" spans="1:9" x14ac:dyDescent="0.25">
      <c r="A8" s="307" t="s">
        <v>234</v>
      </c>
      <c r="B8" s="307"/>
      <c r="C8" s="243">
        <v>312199.96999999997</v>
      </c>
      <c r="D8" s="320">
        <v>302857.88</v>
      </c>
      <c r="E8" s="320"/>
      <c r="F8" s="320">
        <v>9342.09</v>
      </c>
      <c r="G8" s="320"/>
      <c r="H8" s="321">
        <v>3.0800000000000001E-2</v>
      </c>
      <c r="I8" s="321"/>
    </row>
    <row r="9" spans="1:9" x14ac:dyDescent="0.25">
      <c r="A9" s="298" t="s">
        <v>235</v>
      </c>
      <c r="B9" s="298"/>
      <c r="C9" s="239">
        <v>685542.72</v>
      </c>
      <c r="D9" s="299">
        <v>656101.9</v>
      </c>
      <c r="E9" s="299"/>
      <c r="F9" s="299">
        <v>29440.82</v>
      </c>
      <c r="G9" s="299"/>
      <c r="H9" s="300">
        <v>4.4900000000000002E-2</v>
      </c>
      <c r="I9" s="300"/>
    </row>
    <row r="10" spans="1:9" x14ac:dyDescent="0.25">
      <c r="A10" s="316" t="s">
        <v>251</v>
      </c>
      <c r="B10" s="316"/>
      <c r="C10" s="244">
        <v>0</v>
      </c>
      <c r="D10" s="317">
        <v>1050</v>
      </c>
      <c r="E10" s="317"/>
      <c r="F10" s="317">
        <v>-1050</v>
      </c>
      <c r="G10" s="317"/>
      <c r="H10" s="318">
        <v>-1</v>
      </c>
      <c r="I10" s="318"/>
    </row>
    <row r="11" spans="1:9" x14ac:dyDescent="0.25">
      <c r="A11" s="298" t="s">
        <v>236</v>
      </c>
      <c r="B11" s="298"/>
      <c r="C11" s="245">
        <v>0</v>
      </c>
      <c r="D11" s="299">
        <v>1050</v>
      </c>
      <c r="E11" s="299"/>
      <c r="F11" s="315">
        <v>-1050</v>
      </c>
      <c r="G11" s="315"/>
      <c r="H11" s="300">
        <v>-1</v>
      </c>
      <c r="I11" s="300"/>
    </row>
    <row r="12" spans="1:9" x14ac:dyDescent="0.25">
      <c r="A12" s="294" t="s">
        <v>252</v>
      </c>
      <c r="B12" s="294"/>
      <c r="C12" s="246">
        <v>33100.03</v>
      </c>
      <c r="D12" s="295">
        <v>33100.03</v>
      </c>
      <c r="E12" s="295"/>
      <c r="F12" s="296">
        <v>0</v>
      </c>
      <c r="G12" s="296"/>
      <c r="H12" s="297">
        <v>0</v>
      </c>
      <c r="I12" s="297"/>
    </row>
    <row r="13" spans="1:9" x14ac:dyDescent="0.25">
      <c r="A13" s="307" t="s">
        <v>237</v>
      </c>
      <c r="B13" s="307"/>
      <c r="C13" s="247">
        <v>25020.06</v>
      </c>
      <c r="D13" s="314"/>
      <c r="E13" s="314"/>
      <c r="F13" s="292">
        <v>25020.06</v>
      </c>
      <c r="G13" s="292"/>
      <c r="H13" s="314"/>
      <c r="I13" s="314"/>
    </row>
    <row r="14" spans="1:9" x14ac:dyDescent="0.25">
      <c r="A14" s="280" t="s">
        <v>238</v>
      </c>
      <c r="B14" s="280"/>
      <c r="C14" s="248">
        <v>58120.09</v>
      </c>
      <c r="D14" s="281">
        <v>33100.03</v>
      </c>
      <c r="E14" s="281"/>
      <c r="F14" s="281">
        <v>25020.06</v>
      </c>
      <c r="G14" s="281"/>
      <c r="H14" s="283">
        <v>0.75590000000000002</v>
      </c>
      <c r="I14" s="283"/>
    </row>
    <row r="15" spans="1:9" ht="14.4" customHeight="1" x14ac:dyDescent="0.25">
      <c r="A15" s="236" t="s">
        <v>230</v>
      </c>
      <c r="B15" s="236"/>
      <c r="C15" s="239">
        <v>743662.81</v>
      </c>
      <c r="D15" s="310">
        <v>690251.93</v>
      </c>
      <c r="E15" s="310"/>
      <c r="F15" s="310">
        <v>53410.879999999997</v>
      </c>
      <c r="G15" s="310"/>
      <c r="H15" s="311">
        <v>7.7399999999999997E-2</v>
      </c>
      <c r="I15" s="311"/>
    </row>
    <row r="16" spans="1:9" x14ac:dyDescent="0.25">
      <c r="A16" s="294" t="s">
        <v>253</v>
      </c>
      <c r="B16" s="294"/>
      <c r="C16" s="249">
        <v>0</v>
      </c>
      <c r="D16" s="312">
        <v>6675</v>
      </c>
      <c r="E16" s="312"/>
      <c r="F16" s="312">
        <v>-6675</v>
      </c>
      <c r="G16" s="312"/>
      <c r="H16" s="313">
        <v>-1</v>
      </c>
      <c r="I16" s="313"/>
    </row>
    <row r="17" spans="1:9" x14ac:dyDescent="0.25">
      <c r="A17" s="307" t="s">
        <v>239</v>
      </c>
      <c r="B17" s="307"/>
      <c r="C17" s="250">
        <v>0</v>
      </c>
      <c r="D17" s="292">
        <v>-6675</v>
      </c>
      <c r="E17" s="292"/>
      <c r="F17" s="292">
        <v>6675</v>
      </c>
      <c r="G17" s="292"/>
      <c r="H17" s="293">
        <v>1</v>
      </c>
      <c r="I17" s="293"/>
    </row>
    <row r="18" spans="1:9" x14ac:dyDescent="0.25">
      <c r="A18" s="280" t="s">
        <v>240</v>
      </c>
      <c r="B18" s="280"/>
      <c r="C18" s="251">
        <v>0</v>
      </c>
      <c r="D18" s="308">
        <v>0</v>
      </c>
      <c r="E18" s="308"/>
      <c r="F18" s="308">
        <v>0</v>
      </c>
      <c r="G18" s="308"/>
      <c r="H18" s="309"/>
      <c r="I18" s="309"/>
    </row>
    <row r="19" spans="1:9" x14ac:dyDescent="0.25">
      <c r="A19" s="280" t="s">
        <v>241</v>
      </c>
      <c r="B19" s="280"/>
      <c r="C19" s="252">
        <v>0</v>
      </c>
      <c r="D19" s="305">
        <v>0</v>
      </c>
      <c r="E19" s="305"/>
      <c r="F19" s="305">
        <v>0</v>
      </c>
      <c r="G19" s="305"/>
      <c r="H19" s="306">
        <v>0</v>
      </c>
      <c r="I19" s="306"/>
    </row>
    <row r="20" spans="1:9" x14ac:dyDescent="0.25">
      <c r="A20" s="284" t="s">
        <v>242</v>
      </c>
      <c r="B20" s="284"/>
      <c r="C20" s="253">
        <v>743662.81</v>
      </c>
      <c r="D20" s="285">
        <v>690251.93</v>
      </c>
      <c r="E20" s="285"/>
      <c r="F20" s="285">
        <v>53410.879999999997</v>
      </c>
      <c r="G20" s="285"/>
      <c r="H20" s="286">
        <v>7.7399999999999997E-2</v>
      </c>
      <c r="I20" s="286"/>
    </row>
    <row r="21" spans="1:9" x14ac:dyDescent="0.25">
      <c r="A21" s="301" t="s">
        <v>254</v>
      </c>
      <c r="B21" s="301"/>
      <c r="C21" s="254">
        <v>122322.41</v>
      </c>
      <c r="D21" s="302">
        <v>33533.33</v>
      </c>
      <c r="E21" s="302"/>
      <c r="F21" s="302">
        <v>88789.08</v>
      </c>
      <c r="G21" s="302"/>
      <c r="H21" s="303">
        <v>2.6478000000000002</v>
      </c>
      <c r="I21" s="303"/>
    </row>
    <row r="22" spans="1:9" x14ac:dyDescent="0.25">
      <c r="A22" s="304" t="s">
        <v>243</v>
      </c>
      <c r="B22" s="304"/>
      <c r="C22" s="248">
        <v>122322.41</v>
      </c>
      <c r="D22" s="281">
        <v>33533.33</v>
      </c>
      <c r="E22" s="281"/>
      <c r="F22" s="281">
        <v>88789.08</v>
      </c>
      <c r="G22" s="281"/>
      <c r="H22" s="283">
        <v>2.6478000000000002</v>
      </c>
      <c r="I22" s="283"/>
    </row>
    <row r="23" spans="1:9" x14ac:dyDescent="0.25">
      <c r="A23" s="280" t="s">
        <v>244</v>
      </c>
      <c r="B23" s="280"/>
      <c r="C23" s="248">
        <v>122322.41</v>
      </c>
      <c r="D23" s="281">
        <v>33533.33</v>
      </c>
      <c r="E23" s="281"/>
      <c r="F23" s="281">
        <v>88789.08</v>
      </c>
      <c r="G23" s="281"/>
      <c r="H23" s="283">
        <v>2.6478000000000002</v>
      </c>
      <c r="I23" s="283"/>
    </row>
    <row r="24" spans="1:9" x14ac:dyDescent="0.25">
      <c r="A24" s="298" t="s">
        <v>245</v>
      </c>
      <c r="B24" s="298"/>
      <c r="C24" s="255">
        <v>122322.41</v>
      </c>
      <c r="D24" s="299">
        <v>33533.33</v>
      </c>
      <c r="E24" s="299"/>
      <c r="F24" s="299">
        <v>88789.08</v>
      </c>
      <c r="G24" s="299"/>
      <c r="H24" s="300">
        <v>2.6478000000000002</v>
      </c>
      <c r="I24" s="300"/>
    </row>
    <row r="25" spans="1:9" x14ac:dyDescent="0.25">
      <c r="A25" s="294" t="s">
        <v>255</v>
      </c>
      <c r="B25" s="294"/>
      <c r="C25" s="246">
        <v>362418.08</v>
      </c>
      <c r="D25" s="295">
        <v>362418.08</v>
      </c>
      <c r="E25" s="295"/>
      <c r="F25" s="296">
        <v>0</v>
      </c>
      <c r="G25" s="296"/>
      <c r="H25" s="297">
        <v>0</v>
      </c>
      <c r="I25" s="297"/>
    </row>
    <row r="26" spans="1:9" x14ac:dyDescent="0.25">
      <c r="A26" s="287" t="s">
        <v>246</v>
      </c>
      <c r="B26" s="287"/>
      <c r="C26" s="242">
        <v>41663.94</v>
      </c>
      <c r="D26" s="288">
        <v>176580.24</v>
      </c>
      <c r="E26" s="288"/>
      <c r="F26" s="288">
        <v>-134916.29999999999</v>
      </c>
      <c r="G26" s="288"/>
      <c r="H26" s="290">
        <v>-0.7641</v>
      </c>
      <c r="I26" s="290"/>
    </row>
    <row r="27" spans="1:9" x14ac:dyDescent="0.25">
      <c r="A27" s="287" t="s">
        <v>247</v>
      </c>
      <c r="B27" s="287"/>
      <c r="C27" s="242">
        <v>22150</v>
      </c>
      <c r="D27" s="288">
        <v>22150</v>
      </c>
      <c r="E27" s="288"/>
      <c r="F27" s="289">
        <v>0</v>
      </c>
      <c r="G27" s="289"/>
      <c r="H27" s="290">
        <v>0</v>
      </c>
      <c r="I27" s="290"/>
    </row>
    <row r="28" spans="1:9" x14ac:dyDescent="0.25">
      <c r="A28" s="291" t="s">
        <v>98</v>
      </c>
      <c r="B28" s="291"/>
      <c r="C28" s="247">
        <v>195108.38</v>
      </c>
      <c r="D28" s="292">
        <v>95570.28</v>
      </c>
      <c r="E28" s="292"/>
      <c r="F28" s="292">
        <v>99538.1</v>
      </c>
      <c r="G28" s="292"/>
      <c r="H28" s="293">
        <v>1.0415000000000001</v>
      </c>
      <c r="I28" s="293"/>
    </row>
    <row r="29" spans="1:9" x14ac:dyDescent="0.25">
      <c r="A29" s="280" t="s">
        <v>248</v>
      </c>
      <c r="B29" s="280"/>
      <c r="C29" s="248">
        <v>621340.4</v>
      </c>
      <c r="D29" s="281">
        <v>656718.6</v>
      </c>
      <c r="E29" s="281"/>
      <c r="F29" s="282">
        <v>-35378.199999999997</v>
      </c>
      <c r="G29" s="282"/>
      <c r="H29" s="283">
        <v>-5.3900000000000003E-2</v>
      </c>
      <c r="I29" s="283"/>
    </row>
    <row r="30" spans="1:9" x14ac:dyDescent="0.25">
      <c r="A30" s="284" t="s">
        <v>249</v>
      </c>
      <c r="B30" s="284"/>
      <c r="C30" s="253">
        <v>743662.81</v>
      </c>
      <c r="D30" s="285">
        <v>690251.93</v>
      </c>
      <c r="E30" s="285"/>
      <c r="F30" s="285">
        <v>53410.879999999997</v>
      </c>
      <c r="G30" s="285"/>
      <c r="H30" s="286">
        <v>7.7399999999999997E-2</v>
      </c>
      <c r="I30" s="286"/>
    </row>
  </sheetData>
  <mergeCells count="113">
    <mergeCell ref="A5:B5"/>
    <mergeCell ref="D5:E5"/>
    <mergeCell ref="F5:G5"/>
    <mergeCell ref="H5:I5"/>
    <mergeCell ref="A6:B6"/>
    <mergeCell ref="D6:E6"/>
    <mergeCell ref="F6:G6"/>
    <mergeCell ref="H6:I6"/>
    <mergeCell ref="A3:B3"/>
    <mergeCell ref="C3:I3"/>
    <mergeCell ref="A4:B4"/>
    <mergeCell ref="D4:E4"/>
    <mergeCell ref="F4:G4"/>
    <mergeCell ref="H4:I4"/>
    <mergeCell ref="A9:B9"/>
    <mergeCell ref="D9:E9"/>
    <mergeCell ref="F9:G9"/>
    <mergeCell ref="H9:I9"/>
    <mergeCell ref="A10:B10"/>
    <mergeCell ref="D10:E10"/>
    <mergeCell ref="F10:G10"/>
    <mergeCell ref="H10:I10"/>
    <mergeCell ref="A7:B7"/>
    <mergeCell ref="D7:E7"/>
    <mergeCell ref="F7:G7"/>
    <mergeCell ref="H7:I7"/>
    <mergeCell ref="A8:B8"/>
    <mergeCell ref="D8:E8"/>
    <mergeCell ref="F8:G8"/>
    <mergeCell ref="H8:I8"/>
    <mergeCell ref="A13:B13"/>
    <mergeCell ref="D13:E13"/>
    <mergeCell ref="F13:G13"/>
    <mergeCell ref="H13:I13"/>
    <mergeCell ref="A14:B14"/>
    <mergeCell ref="D14:E14"/>
    <mergeCell ref="F14:G14"/>
    <mergeCell ref="H14:I14"/>
    <mergeCell ref="A11:B11"/>
    <mergeCell ref="D11:E11"/>
    <mergeCell ref="F11:G11"/>
    <mergeCell ref="H11:I11"/>
    <mergeCell ref="A12:B12"/>
    <mergeCell ref="D12:E12"/>
    <mergeCell ref="F12:G12"/>
    <mergeCell ref="H12:I12"/>
    <mergeCell ref="A17:B17"/>
    <mergeCell ref="D17:E17"/>
    <mergeCell ref="F17:G17"/>
    <mergeCell ref="H17:I17"/>
    <mergeCell ref="A18:B18"/>
    <mergeCell ref="D18:E18"/>
    <mergeCell ref="F18:G18"/>
    <mergeCell ref="H18:I18"/>
    <mergeCell ref="D15:E15"/>
    <mergeCell ref="F15:G15"/>
    <mergeCell ref="H15:I15"/>
    <mergeCell ref="A16:B16"/>
    <mergeCell ref="D16:E16"/>
    <mergeCell ref="F16:G16"/>
    <mergeCell ref="H16:I16"/>
    <mergeCell ref="A21:B21"/>
    <mergeCell ref="D21:E21"/>
    <mergeCell ref="F21:G21"/>
    <mergeCell ref="H21:I21"/>
    <mergeCell ref="A22:B22"/>
    <mergeCell ref="D22:E22"/>
    <mergeCell ref="F22:G22"/>
    <mergeCell ref="H22:I22"/>
    <mergeCell ref="A19:B19"/>
    <mergeCell ref="D19:E19"/>
    <mergeCell ref="F19:G19"/>
    <mergeCell ref="H19:I19"/>
    <mergeCell ref="A20:B20"/>
    <mergeCell ref="D20:E20"/>
    <mergeCell ref="F20:G20"/>
    <mergeCell ref="H20:I20"/>
    <mergeCell ref="A26:B26"/>
    <mergeCell ref="D26:E26"/>
    <mergeCell ref="F26:G26"/>
    <mergeCell ref="H26:I26"/>
    <mergeCell ref="A23:B23"/>
    <mergeCell ref="D23:E23"/>
    <mergeCell ref="F23:G23"/>
    <mergeCell ref="H23:I23"/>
    <mergeCell ref="A24:B24"/>
    <mergeCell ref="D24:E24"/>
    <mergeCell ref="F24:G24"/>
    <mergeCell ref="H24:I24"/>
    <mergeCell ref="D2:E2"/>
    <mergeCell ref="H2:I2"/>
    <mergeCell ref="A1:I1"/>
    <mergeCell ref="F2:G2"/>
    <mergeCell ref="A29:B29"/>
    <mergeCell ref="D29:E29"/>
    <mergeCell ref="F29:G29"/>
    <mergeCell ref="H29:I29"/>
    <mergeCell ref="A30:B30"/>
    <mergeCell ref="D30:E30"/>
    <mergeCell ref="F30:G30"/>
    <mergeCell ref="H30:I30"/>
    <mergeCell ref="A27:B27"/>
    <mergeCell ref="D27:E27"/>
    <mergeCell ref="F27:G27"/>
    <mergeCell ref="H27:I27"/>
    <mergeCell ref="A28:B28"/>
    <mergeCell ref="D28:E28"/>
    <mergeCell ref="F28:G28"/>
    <mergeCell ref="H28:I28"/>
    <mergeCell ref="A25:B25"/>
    <mergeCell ref="D25:E25"/>
    <mergeCell ref="F25:G25"/>
    <mergeCell ref="H25:I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16B800374F094AB755DDF210BF8168" ma:contentTypeVersion="18" ma:contentTypeDescription="Create a new document." ma:contentTypeScope="" ma:versionID="03d7a11fd26cf8e77141a44575cb57ac">
  <xsd:schema xmlns:xsd="http://www.w3.org/2001/XMLSchema" xmlns:xs="http://www.w3.org/2001/XMLSchema" xmlns:p="http://schemas.microsoft.com/office/2006/metadata/properties" xmlns:ns2="bf1f0a4d-ce98-4208-ab96-a058944228f7" xmlns:ns3="003a22de-6de9-49ad-bb23-f7bd4e1aec9d" targetNamespace="http://schemas.microsoft.com/office/2006/metadata/properties" ma:root="true" ma:fieldsID="6d16d97aaa28e70b4f2ad640b3762d77" ns2:_="" ns3:_="">
    <xsd:import namespace="bf1f0a4d-ce98-4208-ab96-a058944228f7"/>
    <xsd:import namespace="003a22de-6de9-49ad-bb23-f7bd4e1aec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0a4d-ce98-4208-ab96-a058944228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cd4c73-b7d2-42a0-859c-b876e5153e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a22de-6de9-49ad-bb23-f7bd4e1aec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4c307e-4df1-4a73-b6fd-d6eb405098c0}" ma:internalName="TaxCatchAll" ma:showField="CatchAllData" ma:web="003a22de-6de9-49ad-bb23-f7bd4e1aec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3a22de-6de9-49ad-bb23-f7bd4e1aec9d" xsi:nil="true"/>
    <lcf76f155ced4ddcb4097134ff3c332f xmlns="bf1f0a4d-ce98-4208-ab96-a058944228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39137F-C323-4C25-91E3-3882433C5B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9A7BA2-2061-4376-8AED-EE698CBEA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f0a4d-ce98-4208-ab96-a058944228f7"/>
    <ds:schemaRef ds:uri="003a22de-6de9-49ad-bb23-f7bd4e1aec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1EE34C-E513-47A8-8EB9-5886A8739A2E}">
  <ds:schemaRefs>
    <ds:schemaRef ds:uri="http://schemas.microsoft.com/office/2006/metadata/properties"/>
    <ds:schemaRef ds:uri="http://schemas.microsoft.com/office/infopath/2007/PartnerControls"/>
    <ds:schemaRef ds:uri="003a22de-6de9-49ad-bb23-f7bd4e1aec9d"/>
    <ds:schemaRef ds:uri="bf1f0a4d-ce98-4208-ab96-a058944228f7"/>
    <ds:schemaRef ds:uri="0eb34b8b-b505-4ded-88f2-8c7bc5a28b88"/>
    <ds:schemaRef ds:uri="305afdd9-f06d-4167-b925-53d1c52b38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Operational Budget</vt:lpstr>
      <vt:lpstr>Conventions and Meetings</vt:lpstr>
      <vt:lpstr>Assets</vt:lpstr>
      <vt:lpstr>'Operational Budget'!Print_Titles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Nito Goolan</dc:creator>
  <cp:keywords/>
  <dc:description/>
  <cp:lastModifiedBy>Megan MacNee</cp:lastModifiedBy>
  <cp:revision/>
  <dcterms:created xsi:type="dcterms:W3CDTF">2020-01-15T00:03:15Z</dcterms:created>
  <dcterms:modified xsi:type="dcterms:W3CDTF">2024-04-24T18:27:41Z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0x0101008766CC6E93B83C4996D4F45164153C80</vt:lpwstr>
  </property>
  <property fmtid="{D5CDD505-2E9C-101B-9397-08002B2CF9AE}" pid="3" name="Order">
    <vt:r8>1894200</vt:r8>
  </property>
  <property fmtid="{D5CDD505-2E9C-101B-9397-08002B2CF9AE}" pid="4" name="MediaServiceImageTags">
    <vt:lpwstr/>
  </property>
</Properties>
</file>